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gramming\projects2026\nextjs\eder-cotizador\tmp\excel\"/>
    </mc:Choice>
  </mc:AlternateContent>
  <xr:revisionPtr revIDLastSave="0" documentId="13_ncr:1_{7F57E2FA-0796-4E3E-A855-B23FA1C0B0ED}" xr6:coauthVersionLast="47" xr6:coauthVersionMax="47" xr10:uidLastSave="{00000000-0000-0000-0000-000000000000}"/>
  <bookViews>
    <workbookView xWindow="-38510" yWindow="-110" windowWidth="38620" windowHeight="21820" xr2:uid="{00000000-000D-0000-FFFF-FFFF00000000}"/>
  </bookViews>
  <sheets>
    <sheet name="Cotización" sheetId="1" r:id="rId1"/>
    <sheet name="Inventario" sheetId="2" r:id="rId2"/>
    <sheet name="Configuración" sheetId="3" r:id="rId3"/>
    <sheet name="Listas" sheetId="4" state="hidden" r:id="rId4"/>
  </sheets>
  <definedNames>
    <definedName name="_xlnm.Print_Area" localSheetId="0">Cotización!$A$1:$J$62</definedName>
    <definedName name="cfgBanco">Configuración!$C$61</definedName>
    <definedName name="cfgBonoInicial">Configuración!$C$27</definedName>
    <definedName name="cfgCciPEN">Configuración!$C$65</definedName>
    <definedName name="cfgCciUSD">Configuración!$C$67</definedName>
    <definedName name="cfgCorrelativo">Configuración!$C$16</definedName>
    <definedName name="cfgCtaPEN">Configuración!$C$64</definedName>
    <definedName name="cfgCtaUSD">Configuración!$C$66</definedName>
    <definedName name="cfgDireccion">Configuración!$C$8</definedName>
    <definedName name="cfgEntrega">Configuración!$C$9</definedName>
    <definedName name="cfgHorario">Configuración!$C$11</definedName>
    <definedName name="cfgInicialSugerida">Configuración!$C$20</definedName>
    <definedName name="cfgLema">Configuración!$C$7</definedName>
    <definedName name="cfgProyecto">Configuración!$C$6</definedName>
    <definedName name="cfgRUC">Configuración!$C$63</definedName>
    <definedName name="cfgSala">Configuración!$C$10</definedName>
    <definedName name="cfgTC">Configuración!$C$15</definedName>
    <definedName name="cfgTEA">Configuración!$C$19</definedName>
    <definedName name="cfgTitular">Configuración!$C$62</definedName>
    <definedName name="cfgTramoEspecial">Configuración!$C$25</definedName>
    <definedName name="cfgTramoExcepcional">Configuración!$C$26</definedName>
    <definedName name="cfgValidez">Configuración!$C$14</definedName>
    <definedName name="cotCampania">Cotización!$C$12</definedName>
    <definedName name="cotFecha">Cotización!$H$7</definedName>
    <definedName name="cotInicial">Cotización!$C$34</definedName>
    <definedName name="cotModalidad">Cotización!$C$33</definedName>
    <definedName name="cotPlan">Cotización!$G$33</definedName>
    <definedName name="cotTotal">Cotización!$I$21</definedName>
    <definedName name="invArea">Inventario!$G$5:$G$43</definedName>
    <definedName name="invCodigo">Inventario!$A$5:$A$43</definedName>
    <definedName name="invDesc">Inventario!$M$5:$M$43</definedName>
    <definedName name="invEstado">Inventario!$K$5:$K$43</definedName>
    <definedName name="invPrecio1">Inventario!$H$5:$H$43</definedName>
    <definedName name="invPrecio2">Inventario!$I$5:$I$43</definedName>
    <definedName name="invTipo">Inventario!$B$5:$B$43</definedName>
    <definedName name="invTope">Inventario!$J$5:$J$43</definedName>
    <definedName name="invUbic">Inventario!$C$5:$C$43</definedName>
    <definedName name="lstAsesores">Configuración!$B$55:$B$58</definedName>
    <definedName name="lstCampanias">Configuración!$B$84:$B$85</definedName>
    <definedName name="lstCitas">Configuración!$B$31:$B$33</definedName>
    <definedName name="lstDepartamentos">OFFSET(Listas!$A$2,0,0,MAX(1,COUNTIF(Listas!$A$2:$A$40,"?*")),1)</definedName>
    <definedName name="lstDepositos">OFFSET(Listas!$C$2,0,0,MAX(1,COUNTIF(Listas!$C$2:$C$41,"?*")),1)</definedName>
    <definedName name="lstEstacionamientos">OFFSET(Listas!$B$2,0,0,MAX(1,COUNTIF(Listas!$B$2:$B$41,"?*")),1)</definedName>
    <definedName name="lstEstados">Configuración!$B$74:$B$77</definedName>
    <definedName name="lstModalidad">Configuración!$B$70:$B$71</definedName>
    <definedName name="lstPlanes">Configuración!$B$82:$B$83</definedName>
    <definedName name="lstPlazos">Configuración!$B$78:$B$81</definedName>
    <definedName name="lstSiNo">Configuración!$B$72:$B$73</definedName>
    <definedName name="tAsesores">Configuración!$B$55:$C$58</definedName>
    <definedName name="tBeneficios">Configuración!$B$49:$E$52</definedName>
    <definedName name="tEscalera">Configuración!$B$31:$E$33</definedName>
    <definedName name="tPlanes">Configuración!$B$37:$F$44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0" i="4" l="1"/>
  <c r="F40" i="4"/>
  <c r="E40" i="4"/>
  <c r="G39" i="4"/>
  <c r="F39" i="4"/>
  <c r="E39" i="4"/>
  <c r="G38" i="4"/>
  <c r="F38" i="4"/>
  <c r="E38" i="4"/>
  <c r="G37" i="4"/>
  <c r="F37" i="4"/>
  <c r="E37" i="4"/>
  <c r="G36" i="4"/>
  <c r="F36" i="4"/>
  <c r="E36" i="4"/>
  <c r="G35" i="4"/>
  <c r="F35" i="4"/>
  <c r="E35" i="4"/>
  <c r="G34" i="4"/>
  <c r="F34" i="4"/>
  <c r="E34" i="4"/>
  <c r="G33" i="4"/>
  <c r="F33" i="4"/>
  <c r="E33" i="4"/>
  <c r="G32" i="4"/>
  <c r="F32" i="4"/>
  <c r="E32" i="4"/>
  <c r="G31" i="4"/>
  <c r="F31" i="4"/>
  <c r="E31" i="4"/>
  <c r="G30" i="4"/>
  <c r="F30" i="4"/>
  <c r="E30" i="4"/>
  <c r="G29" i="4"/>
  <c r="F29" i="4"/>
  <c r="E29" i="4"/>
  <c r="G28" i="4"/>
  <c r="F28" i="4"/>
  <c r="E28" i="4"/>
  <c r="G27" i="4"/>
  <c r="F27" i="4"/>
  <c r="E27" i="4"/>
  <c r="G26" i="4"/>
  <c r="F26" i="4"/>
  <c r="E26" i="4"/>
  <c r="G25" i="4"/>
  <c r="F25" i="4"/>
  <c r="E25" i="4"/>
  <c r="G24" i="4"/>
  <c r="F24" i="4"/>
  <c r="E24" i="4"/>
  <c r="G23" i="4"/>
  <c r="F23" i="4"/>
  <c r="E23" i="4"/>
  <c r="G22" i="4"/>
  <c r="F22" i="4"/>
  <c r="E22" i="4"/>
  <c r="G21" i="4"/>
  <c r="F21" i="4"/>
  <c r="E21" i="4"/>
  <c r="G20" i="4"/>
  <c r="F20" i="4"/>
  <c r="E20" i="4"/>
  <c r="G19" i="4"/>
  <c r="F19" i="4"/>
  <c r="E19" i="4"/>
  <c r="G18" i="4"/>
  <c r="F18" i="4"/>
  <c r="E18" i="4"/>
  <c r="G17" i="4"/>
  <c r="F17" i="4"/>
  <c r="E17" i="4"/>
  <c r="G16" i="4"/>
  <c r="F16" i="4"/>
  <c r="E16" i="4"/>
  <c r="G15" i="4"/>
  <c r="F15" i="4"/>
  <c r="E15" i="4"/>
  <c r="G14" i="4"/>
  <c r="F14" i="4"/>
  <c r="E14" i="4"/>
  <c r="G13" i="4"/>
  <c r="F13" i="4"/>
  <c r="E13" i="4"/>
  <c r="G12" i="4"/>
  <c r="F12" i="4"/>
  <c r="E12" i="4"/>
  <c r="G11" i="4"/>
  <c r="F11" i="4"/>
  <c r="E11" i="4"/>
  <c r="G10" i="4"/>
  <c r="F10" i="4"/>
  <c r="E10" i="4"/>
  <c r="G9" i="4"/>
  <c r="F9" i="4"/>
  <c r="E9" i="4"/>
  <c r="G8" i="4"/>
  <c r="F8" i="4"/>
  <c r="E8" i="4"/>
  <c r="G7" i="4"/>
  <c r="F7" i="4"/>
  <c r="E7" i="4"/>
  <c r="G6" i="4"/>
  <c r="F6" i="4"/>
  <c r="E6" i="4"/>
  <c r="G5" i="4"/>
  <c r="F5" i="4"/>
  <c r="E5" i="4"/>
  <c r="G4" i="4"/>
  <c r="F4" i="4"/>
  <c r="E4" i="4"/>
  <c r="G3" i="4"/>
  <c r="F3" i="4"/>
  <c r="E3" i="4"/>
  <c r="G2" i="4"/>
  <c r="F2" i="4"/>
  <c r="E2" i="4"/>
  <c r="B83" i="3"/>
  <c r="C44" i="1" s="1"/>
  <c r="B44" i="1" s="1"/>
  <c r="B82" i="3"/>
  <c r="C38" i="1" s="1"/>
  <c r="B38" i="1" s="1"/>
  <c r="F45" i="3"/>
  <c r="C45" i="3"/>
  <c r="M43" i="2"/>
  <c r="L43" i="2"/>
  <c r="M42" i="2"/>
  <c r="L42" i="2"/>
  <c r="M41" i="2"/>
  <c r="D17" i="1" s="1"/>
  <c r="L41" i="2"/>
  <c r="M40" i="2"/>
  <c r="L40" i="2"/>
  <c r="M39" i="2"/>
  <c r="L39" i="2"/>
  <c r="M38" i="2"/>
  <c r="L38" i="2"/>
  <c r="M37" i="2"/>
  <c r="L37" i="2"/>
  <c r="M36" i="2"/>
  <c r="L36" i="2"/>
  <c r="M35" i="2"/>
  <c r="L35" i="2"/>
  <c r="M34" i="2"/>
  <c r="L34" i="2"/>
  <c r="M33" i="2"/>
  <c r="L33" i="2"/>
  <c r="M32" i="2"/>
  <c r="D16" i="1" s="1"/>
  <c r="L32" i="2"/>
  <c r="M31" i="2"/>
  <c r="L31" i="2"/>
  <c r="M30" i="2"/>
  <c r="L30" i="2"/>
  <c r="M29" i="2"/>
  <c r="L29" i="2"/>
  <c r="M28" i="2"/>
  <c r="L28" i="2"/>
  <c r="M27" i="2"/>
  <c r="L27" i="2"/>
  <c r="M26" i="2"/>
  <c r="L26" i="2"/>
  <c r="M25" i="2"/>
  <c r="L25" i="2"/>
  <c r="M24" i="2"/>
  <c r="L24" i="2"/>
  <c r="M23" i="2"/>
  <c r="L23" i="2"/>
  <c r="M22" i="2"/>
  <c r="L22" i="2"/>
  <c r="M21" i="2"/>
  <c r="L21" i="2"/>
  <c r="M20" i="2"/>
  <c r="L20" i="2"/>
  <c r="M19" i="2"/>
  <c r="L19" i="2"/>
  <c r="M18" i="2"/>
  <c r="L18" i="2"/>
  <c r="M17" i="2"/>
  <c r="L17" i="2"/>
  <c r="M16" i="2"/>
  <c r="L16" i="2"/>
  <c r="M15" i="2"/>
  <c r="L15" i="2"/>
  <c r="M14" i="2"/>
  <c r="L14" i="2"/>
  <c r="M13" i="2"/>
  <c r="L13" i="2"/>
  <c r="M12" i="2"/>
  <c r="L12" i="2"/>
  <c r="M11" i="2"/>
  <c r="L11" i="2"/>
  <c r="M10" i="2"/>
  <c r="L10" i="2"/>
  <c r="M9" i="2"/>
  <c r="L9" i="2"/>
  <c r="M8" i="2"/>
  <c r="L8" i="2"/>
  <c r="M7" i="2"/>
  <c r="L7" i="2"/>
  <c r="M6" i="2"/>
  <c r="L6" i="2"/>
  <c r="M5" i="2"/>
  <c r="L5" i="2"/>
  <c r="B54" i="1"/>
  <c r="B53" i="1"/>
  <c r="B52" i="1"/>
  <c r="B51" i="1"/>
  <c r="D47" i="1"/>
  <c r="G37" i="1"/>
  <c r="C37" i="1"/>
  <c r="B37" i="1"/>
  <c r="D34" i="1"/>
  <c r="I29" i="1"/>
  <c r="C29" i="1"/>
  <c r="I28" i="1"/>
  <c r="C28" i="1"/>
  <c r="I27" i="1"/>
  <c r="C27" i="1"/>
  <c r="K26" i="1"/>
  <c r="I26" i="1"/>
  <c r="C26" i="1"/>
  <c r="M25" i="1"/>
  <c r="F22" i="1"/>
  <c r="K21" i="1"/>
  <c r="I20" i="1"/>
  <c r="O17" i="1"/>
  <c r="M17" i="1"/>
  <c r="N17" i="1" s="1"/>
  <c r="L17" i="1"/>
  <c r="K17" i="1"/>
  <c r="G17" i="1"/>
  <c r="I17" i="1" s="1"/>
  <c r="F17" i="1"/>
  <c r="E17" i="1"/>
  <c r="O16" i="1"/>
  <c r="M16" i="1"/>
  <c r="N16" i="1" s="1"/>
  <c r="L16" i="1"/>
  <c r="K16" i="1"/>
  <c r="G16" i="1"/>
  <c r="I16" i="1" s="1"/>
  <c r="F16" i="1"/>
  <c r="E16" i="1"/>
  <c r="M15" i="1"/>
  <c r="M20" i="1" s="1"/>
  <c r="L15" i="1"/>
  <c r="K15" i="1"/>
  <c r="G15" i="1"/>
  <c r="F15" i="1"/>
  <c r="E15" i="1"/>
  <c r="H8" i="1"/>
  <c r="B56" i="1" s="1"/>
  <c r="H6" i="1"/>
  <c r="F3" i="1"/>
  <c r="F2" i="1"/>
  <c r="D15" i="1" l="1"/>
  <c r="A10" i="4"/>
  <c r="I30" i="1"/>
  <c r="A3" i="4"/>
  <c r="C42" i="1"/>
  <c r="B42" i="1" s="1"/>
  <c r="A14" i="4"/>
  <c r="G42" i="1"/>
  <c r="C43" i="1"/>
  <c r="B43" i="1" s="1"/>
  <c r="O15" i="1"/>
  <c r="C41" i="4"/>
  <c r="G41" i="1"/>
  <c r="A18" i="4"/>
  <c r="I19" i="1"/>
  <c r="C37" i="4"/>
  <c r="K23" i="1"/>
  <c r="A31" i="4"/>
  <c r="A2" i="4"/>
  <c r="A34" i="4"/>
  <c r="A37" i="4"/>
  <c r="A6" i="4"/>
  <c r="B37" i="4"/>
  <c r="C5" i="4"/>
  <c r="C9" i="4"/>
  <c r="C13" i="4"/>
  <c r="C17" i="4"/>
  <c r="C21" i="4"/>
  <c r="C25" i="4"/>
  <c r="C29" i="4"/>
  <c r="C33" i="4"/>
  <c r="A38" i="4"/>
  <c r="I15" i="1"/>
  <c r="I21" i="1" s="1"/>
  <c r="G43" i="1"/>
  <c r="B6" i="4"/>
  <c r="B10" i="4"/>
  <c r="B14" i="4"/>
  <c r="B18" i="4"/>
  <c r="B22" i="4"/>
  <c r="B26" i="4"/>
  <c r="B30" i="4"/>
  <c r="B34" i="4"/>
  <c r="B38" i="4"/>
  <c r="C6" i="4"/>
  <c r="C10" i="4"/>
  <c r="C14" i="4"/>
  <c r="C18" i="4"/>
  <c r="C22" i="4"/>
  <c r="C26" i="4"/>
  <c r="C30" i="4"/>
  <c r="C34" i="4"/>
  <c r="C38" i="4"/>
  <c r="C11" i="4"/>
  <c r="C35" i="4"/>
  <c r="G39" i="1"/>
  <c r="G38" i="1"/>
  <c r="A35" i="4"/>
  <c r="C40" i="1"/>
  <c r="B40" i="1" s="1"/>
  <c r="A4" i="4"/>
  <c r="A8" i="4"/>
  <c r="A12" i="4"/>
  <c r="A16" i="4"/>
  <c r="A20" i="4"/>
  <c r="A24" i="4"/>
  <c r="A28" i="4"/>
  <c r="A32" i="4"/>
  <c r="A36" i="4"/>
  <c r="A40" i="4"/>
  <c r="A30" i="4"/>
  <c r="N15" i="1"/>
  <c r="G44" i="1"/>
  <c r="G40" i="1"/>
  <c r="B4" i="4"/>
  <c r="B8" i="4"/>
  <c r="B12" i="4"/>
  <c r="B16" i="4"/>
  <c r="B20" i="4"/>
  <c r="B24" i="4"/>
  <c r="B28" i="4"/>
  <c r="B32" i="4"/>
  <c r="B36" i="4"/>
  <c r="B40" i="4"/>
  <c r="A23" i="4"/>
  <c r="B31" i="4"/>
  <c r="C39" i="1"/>
  <c r="B39" i="1" s="1"/>
  <c r="C3" i="4"/>
  <c r="C7" i="4"/>
  <c r="C15" i="4"/>
  <c r="C19" i="4"/>
  <c r="C23" i="4"/>
  <c r="C27" i="4"/>
  <c r="C31" i="4"/>
  <c r="C39" i="4"/>
  <c r="C4" i="4"/>
  <c r="C8" i="4"/>
  <c r="C12" i="4"/>
  <c r="C16" i="4"/>
  <c r="C20" i="4"/>
  <c r="C24" i="4"/>
  <c r="C28" i="4"/>
  <c r="C32" i="4"/>
  <c r="C36" i="4"/>
  <c r="C40" i="4"/>
  <c r="A22" i="4"/>
  <c r="B11" i="4"/>
  <c r="C41" i="1"/>
  <c r="B41" i="1" s="1"/>
  <c r="A26" i="4"/>
  <c r="A11" i="4"/>
  <c r="A15" i="4"/>
  <c r="A19" i="4"/>
  <c r="A27" i="4"/>
  <c r="A39" i="4"/>
  <c r="B7" i="4"/>
  <c r="B19" i="4"/>
  <c r="B27" i="4"/>
  <c r="B39" i="4"/>
  <c r="A5" i="4"/>
  <c r="A9" i="4"/>
  <c r="A13" i="4"/>
  <c r="A17" i="4"/>
  <c r="A21" i="4"/>
  <c r="A25" i="4"/>
  <c r="A29" i="4"/>
  <c r="A33" i="4"/>
  <c r="B41" i="4"/>
  <c r="A7" i="4"/>
  <c r="B3" i="4"/>
  <c r="B15" i="4"/>
  <c r="B23" i="4"/>
  <c r="B35" i="4"/>
  <c r="B5" i="4"/>
  <c r="B9" i="4"/>
  <c r="B13" i="4"/>
  <c r="B17" i="4"/>
  <c r="B21" i="4"/>
  <c r="B25" i="4"/>
  <c r="B29" i="4"/>
  <c r="B33" i="4"/>
  <c r="I22" i="1" l="1"/>
  <c r="I47" i="1"/>
  <c r="H42" i="1"/>
  <c r="H43" i="1"/>
  <c r="H44" i="1"/>
  <c r="H41" i="1"/>
  <c r="H38" i="1"/>
  <c r="H39" i="1"/>
  <c r="G45" i="1"/>
  <c r="H37" i="1"/>
  <c r="H40" i="1"/>
  <c r="H4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Cotizador</author>
  </authors>
  <commentList>
    <comment ref="C9" authorId="0" shapeId="0" xr:uid="{00000000-0006-0000-0200-000001000000}">
      <text>
        <r>
          <rPr>
            <sz val="10"/>
            <color theme="1"/>
            <rFont val="Arial"/>
            <family val="2"/>
          </rPr>
          <t>De la demo: entregaEstimada 2028-03.</t>
        </r>
      </text>
    </comment>
    <comment ref="C15" authorId="0" shapeId="0" xr:uid="{00000000-0006-0000-0200-000002000000}">
      <text>
        <r>
          <rPr>
            <sz val="10"/>
            <color theme="1"/>
            <rFont val="Arial"/>
            <family val="2"/>
          </rPr>
          <t>Mismo valor que el Excel anterior. Actualizar a diario.</t>
        </r>
      </text>
    </comment>
    <comment ref="C16" authorId="0" shapeId="0" xr:uid="{00000000-0006-0000-0200-000003000000}">
      <text>
        <r>
          <rPr>
            <sz val="10"/>
            <color theme="1"/>
            <rFont val="Arial"/>
            <family val="2"/>
          </rPr>
          <t>Número que se sugiere para la próxima cotización.</t>
        </r>
      </text>
    </comment>
    <comment ref="C23" authorId="0" shapeId="0" xr:uid="{00000000-0006-0000-0200-000004000000}">
      <text>
        <r>
          <rPr>
            <sz val="10"/>
            <color theme="1"/>
            <rFont val="Arial"/>
            <family val="2"/>
          </rPr>
          <t>Ya está copiado en cada estacionamiento del Inventario.</t>
        </r>
      </text>
    </comment>
    <comment ref="C24" authorId="0" shapeId="0" xr:uid="{00000000-0006-0000-0200-000005000000}">
      <text>
        <r>
          <rPr>
            <sz val="10"/>
            <color theme="1"/>
            <rFont val="Arial"/>
            <family val="2"/>
          </rPr>
          <t>Ya está copiado en cada depósito del Inventario.</t>
        </r>
      </text>
    </comment>
    <comment ref="C27" authorId="0" shapeId="0" xr:uid="{00000000-0006-0000-0200-000006000000}">
      <text>
        <r>
          <rPr>
            <sz val="10"/>
            <color theme="1"/>
            <rFont val="Arial"/>
            <family val="2"/>
          </rPr>
          <t>Se sugiere (no se aplica solo) cuando la inicial supera la inicial sugerida.</t>
        </r>
      </text>
    </comment>
  </commentList>
</comments>
</file>

<file path=xl/sharedStrings.xml><?xml version="1.0" encoding="utf-8"?>
<sst xmlns="http://schemas.openxmlformats.org/spreadsheetml/2006/main" count="375" uniqueCount="215">
  <si>
    <t>PANEL DEL ASESOR · no se imprime</t>
  </si>
  <si>
    <t>Celdas crema = las completas tú. Lo demás se calcula solo.</t>
  </si>
  <si>
    <t>Cliente</t>
  </si>
  <si>
    <t>N° de cotización</t>
  </si>
  <si>
    <t>DNI / CE</t>
  </si>
  <si>
    <t>Fecha</t>
  </si>
  <si>
    <t>Teléfono</t>
  </si>
  <si>
    <t>Válida hasta</t>
  </si>
  <si>
    <t>Correo</t>
  </si>
  <si>
    <t>Asesor</t>
  </si>
  <si>
    <t>Lucía Paredes</t>
  </si>
  <si>
    <t>UNIDADES</t>
  </si>
  <si>
    <t>Campaña</t>
  </si>
  <si>
    <t>Lanzamiento</t>
  </si>
  <si>
    <t>Tipo</t>
  </si>
  <si>
    <t>Código</t>
  </si>
  <si>
    <t>Descripción</t>
  </si>
  <si>
    <t>Ubicación</t>
  </si>
  <si>
    <t>Área</t>
  </si>
  <si>
    <t>Precio de lista</t>
  </si>
  <si>
    <t>Descuento</t>
  </si>
  <si>
    <t>Precio final</t>
  </si>
  <si>
    <t>Unidad</t>
  </si>
  <si>
    <t>Estado</t>
  </si>
  <si>
    <t>Tope</t>
  </si>
  <si>
    <t>Usado</t>
  </si>
  <si>
    <t>Tramo</t>
  </si>
  <si>
    <t>Departamento</t>
  </si>
  <si>
    <t>803</t>
  </si>
  <si>
    <t>Estacionamiento</t>
  </si>
  <si>
    <t>Ninguno</t>
  </si>
  <si>
    <t>Depósito</t>
  </si>
  <si>
    <t>D-02</t>
  </si>
  <si>
    <t>Cita N° con este cliente</t>
  </si>
  <si>
    <t>Descuentos</t>
  </si>
  <si>
    <t>Descuento sugerido (depa)</t>
  </si>
  <si>
    <t>PRECIO TOTAL</t>
  </si>
  <si>
    <t>BENEFICIOS INCLUIDOS</t>
  </si>
  <si>
    <t>¿Incluye?</t>
  </si>
  <si>
    <t>Beneficio</t>
  </si>
  <si>
    <t>Valor referencial</t>
  </si>
  <si>
    <t>Bono por inicial sugerido</t>
  </si>
  <si>
    <t>No</t>
  </si>
  <si>
    <t>Cómo cotizar</t>
  </si>
  <si>
    <t>Valor de los beneficios (sin costo para el cliente)</t>
  </si>
  <si>
    <t>1. Elige campaña y unidades: solo salen las disponibles.</t>
  </si>
  <si>
    <t>2. Escribe el descuento. Si pasa el tope, Excel te avisa.</t>
  </si>
  <si>
    <t>FORMA DE PAGO</t>
  </si>
  <si>
    <t>3. Marca los beneficios y la forma de pago.</t>
  </si>
  <si>
    <t>Modalidad</t>
  </si>
  <si>
    <t>Financiamiento directo</t>
  </si>
  <si>
    <t>Plan</t>
  </si>
  <si>
    <t>Por avance de obra</t>
  </si>
  <si>
    <t>4. Imprime o guarda como PDF (Ctrl+P): sale una página A4.</t>
  </si>
  <si>
    <t>Inicial</t>
  </si>
  <si>
    <t>5. Al terminar, sube el correlativo en Configuración.</t>
  </si>
  <si>
    <t>N°</t>
  </si>
  <si>
    <t>Concepto</t>
  </si>
  <si>
    <t>%</t>
  </si>
  <si>
    <t>Monto</t>
  </si>
  <si>
    <t>Total</t>
  </si>
  <si>
    <t>Plazo del crédito</t>
  </si>
  <si>
    <t>Cuota mensual referencial</t>
  </si>
  <si>
    <t>Solo para crédito hipotecario. La cuota final la define el banco según su evaluación (sin seguros ni portes).</t>
  </si>
  <si>
    <t>PARA SEPARAR TU DEPARTAMENTO</t>
  </si>
  <si>
    <t>Firma del cliente</t>
  </si>
  <si>
    <t>Firma del asesor</t>
  </si>
  <si>
    <t>Inventario y precios · Cruz Mirador</t>
  </si>
  <si>
    <t>Una sola fuente: la cotización lee todo de aquí. Cambia el estado y la unidad sale (o entra) de los desplegables al instante.</t>
  </si>
  <si>
    <t>Dorm.</t>
  </si>
  <si>
    <t>Baños</t>
  </si>
  <si>
    <t>Vista</t>
  </si>
  <si>
    <t>Precio Lanzamiento</t>
  </si>
  <si>
    <t>Precio Feria Inmobiliaria</t>
  </si>
  <si>
    <t>Tope de descuento</t>
  </si>
  <si>
    <t>Precio m²</t>
  </si>
  <si>
    <t>101</t>
  </si>
  <si>
    <t>Piso 1</t>
  </si>
  <si>
    <t>Exterior</t>
  </si>
  <si>
    <t>Vendido</t>
  </si>
  <si>
    <t>102</t>
  </si>
  <si>
    <t>Interior</t>
  </si>
  <si>
    <t>Disponible</t>
  </si>
  <si>
    <t>201</t>
  </si>
  <si>
    <t>Piso 2</t>
  </si>
  <si>
    <t>202</t>
  </si>
  <si>
    <t>203</t>
  </si>
  <si>
    <t>301</t>
  </si>
  <si>
    <t>Piso 3</t>
  </si>
  <si>
    <t>302</t>
  </si>
  <si>
    <t>303</t>
  </si>
  <si>
    <t>401</t>
  </si>
  <si>
    <t>Piso 4</t>
  </si>
  <si>
    <t>402</t>
  </si>
  <si>
    <t>Bloqueado</t>
  </si>
  <si>
    <t>403</t>
  </si>
  <si>
    <t>501</t>
  </si>
  <si>
    <t>Piso 5</t>
  </si>
  <si>
    <t>502</t>
  </si>
  <si>
    <t>503</t>
  </si>
  <si>
    <t>601</t>
  </si>
  <si>
    <t>Piso 6</t>
  </si>
  <si>
    <t>602</t>
  </si>
  <si>
    <t>603</t>
  </si>
  <si>
    <t>701</t>
  </si>
  <si>
    <t>Piso 7</t>
  </si>
  <si>
    <t>702</t>
  </si>
  <si>
    <t>703</t>
  </si>
  <si>
    <t>801</t>
  </si>
  <si>
    <t>Piso 8</t>
  </si>
  <si>
    <t>802</t>
  </si>
  <si>
    <t>901</t>
  </si>
  <si>
    <t>Pisos 9 y 10</t>
  </si>
  <si>
    <t>902</t>
  </si>
  <si>
    <t>E-01</t>
  </si>
  <si>
    <t>Sótano 1</t>
  </si>
  <si>
    <t>E-02</t>
  </si>
  <si>
    <t>Sótano 2</t>
  </si>
  <si>
    <t>E-03</t>
  </si>
  <si>
    <t>E-04</t>
  </si>
  <si>
    <t>E-05</t>
  </si>
  <si>
    <t>E-06</t>
  </si>
  <si>
    <t>E-07</t>
  </si>
  <si>
    <t>Separado</t>
  </si>
  <si>
    <t>E-08</t>
  </si>
  <si>
    <t>E-09</t>
  </si>
  <si>
    <t>E-10</t>
  </si>
  <si>
    <t>D-01</t>
  </si>
  <si>
    <t>D-03</t>
  </si>
  <si>
    <t>D-04</t>
  </si>
  <si>
    <t>Configuración comercial · Cruz Mirador</t>
  </si>
  <si>
    <t>Gerencia edita esta hoja. El asesor solo usa «Cotización». Celdas crema = valores editables.</t>
  </si>
  <si>
    <t>Proyecto</t>
  </si>
  <si>
    <t>Cruz Mirador</t>
  </si>
  <si>
    <t>Lema</t>
  </si>
  <si>
    <t>Diez pisos de vista abierta.</t>
  </si>
  <si>
    <t>Dirección del proyecto</t>
  </si>
  <si>
    <t>Av. Los Fresnos 1180, Jesús María</t>
  </si>
  <si>
    <t>Entrega estimada</t>
  </si>
  <si>
    <t>Marzo 2028</t>
  </si>
  <si>
    <t>Sala de ventas</t>
  </si>
  <si>
    <t>Av. Los Fresnos 1180, Jesús María (frente al Campo de Marte)</t>
  </si>
  <si>
    <t>Horario</t>
  </si>
  <si>
    <t>Lun a vie 10:00–19:00 · Sáb 9:00–13:00</t>
  </si>
  <si>
    <t>Cotización</t>
  </si>
  <si>
    <t>Validez de la proforma (días)</t>
  </si>
  <si>
    <t>Tipo de cambio referencial (S/ por US$)</t>
  </si>
  <si>
    <t>Correlativo siguiente</t>
  </si>
  <si>
    <t>Crédito hipotecario (referencial)</t>
  </si>
  <si>
    <t>TEA referencial</t>
  </si>
  <si>
    <t>Inicial sugerida</t>
  </si>
  <si>
    <t>Tope estacionamiento (S/)</t>
  </si>
  <si>
    <t>Tope depósito (S/)</t>
  </si>
  <si>
    <t>Tramo «Especial» desde (% del tope)</t>
  </si>
  <si>
    <t>Tramo «Excepcional» desde (% del tope)</t>
  </si>
  <si>
    <t>Bono por inicial: S/ por cada 10 % extra</t>
  </si>
  <si>
    <t>Escalera de bonos por cita</t>
  </si>
  <si>
    <t>Cita</t>
  </si>
  <si>
    <t>% del tope</t>
  </si>
  <si>
    <t>Guion para el asesor</t>
  </si>
  <si>
    <t>Primera cita: muestra que hay margen, sin comprometer el tope.</t>
  </si>
  <si>
    <t>Segunda cita: el cliente volvió. Premia el interés.</t>
  </si>
  <si>
    <t>Tercera cita: «como caso muy excepcional…». El tope completo.</t>
  </si>
  <si>
    <t>Planes de pago directo (cada columna de % debe sumar 100 %)</t>
  </si>
  <si>
    <t>Inicial + cuotas</t>
  </si>
  <si>
    <t>Casco rojo</t>
  </si>
  <si>
    <t>Cuota 1</t>
  </si>
  <si>
    <t>Casco gris</t>
  </si>
  <si>
    <t>Cuota 2</t>
  </si>
  <si>
    <t>Entrega de llaves</t>
  </si>
  <si>
    <t>Cuota 3</t>
  </si>
  <si>
    <t>Cuota 4</t>
  </si>
  <si>
    <t>Cuota 5</t>
  </si>
  <si>
    <t>Cuota 6</t>
  </si>
  <si>
    <t>Cuota 7</t>
  </si>
  <si>
    <t>Suma</t>
  </si>
  <si>
    <t>Beneficios que se pueden ofrecer</t>
  </si>
  <si>
    <t>Kit de cocina</t>
  </si>
  <si>
    <t>Encimera de cuarzo, campana extractora y horno empotrado</t>
  </si>
  <si>
    <t>Closets terminados</t>
  </si>
  <si>
    <t>Closets de melamina en todos los dormitorios</t>
  </si>
  <si>
    <t>Mantenimiento pagado</t>
  </si>
  <si>
    <t>El primer año de mantenimiento corre por cuenta de Cruz</t>
  </si>
  <si>
    <t>Cortinas blackout</t>
  </si>
  <si>
    <t>Cortinas roller blackout en sala y dormitorios</t>
  </si>
  <si>
    <t>Asesores</t>
  </si>
  <si>
    <t>+51 987 210 334</t>
  </si>
  <si>
    <t>Diego Salazar</t>
  </si>
  <si>
    <t>+51 976 554 218</t>
  </si>
  <si>
    <t>Carla Huamán</t>
  </si>
  <si>
    <t>+51 965 873 102</t>
  </si>
  <si>
    <t>Martín Rojas</t>
  </si>
  <si>
    <t>+51 954 120 667</t>
  </si>
  <si>
    <t>Cuenta para depósitos</t>
  </si>
  <si>
    <t>Banco</t>
  </si>
  <si>
    <t>BBVA</t>
  </si>
  <si>
    <t>Titular</t>
  </si>
  <si>
    <t>Cruz Mirador Inmobiliaria S.A.C.</t>
  </si>
  <si>
    <t>RUC</t>
  </si>
  <si>
    <t>20000000002</t>
  </si>
  <si>
    <t>Cuenta corriente soles</t>
  </si>
  <si>
    <t>0011-0661-0100038472</t>
  </si>
  <si>
    <t>CCI soles</t>
  </si>
  <si>
    <t>011-661-000100038472-58</t>
  </si>
  <si>
    <t>Cuenta corriente dólares</t>
  </si>
  <si>
    <t>0011-0661-0100038499</t>
  </si>
  <si>
    <t>CCI dólares</t>
  </si>
  <si>
    <t>011-661-000100038499-51</t>
  </si>
  <si>
    <t>Listas (no tocar)</t>
  </si>
  <si>
    <t>Crédito hipotecario</t>
  </si>
  <si>
    <t>Sí</t>
  </si>
  <si>
    <t>Feria Inmobiliaria</t>
  </si>
  <si>
    <t>orden Departamento</t>
  </si>
  <si>
    <t>orden Estacionamiento</t>
  </si>
  <si>
    <t>orden Depósito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</si>
</sst>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"/>
    <numFmt numFmtId="165" formatCode="0000"/>
    <numFmt numFmtId="166" formatCode="&quot;S/&quot;\ #,##0;\-&quot;S/&quot;\ #,##0;&quot;–&quot;"/>
    <numFmt numFmtId="167" formatCode="0.00&quot; m²&quot;;;&quot;–&quot;"/>
    <numFmt numFmtId="169" formatCode="dd/mm/yyyy"/>
    <numFmt numFmtId="170" formatCode="&quot;S/&quot;\ #,##0.00;\-&quot;S/&quot;\ #,##0.00;&quot;–&quot;"/>
    <numFmt numFmtId="171" formatCode="&quot;US$&quot;\ #,##0.00;\-&quot;US$&quot;\ #,##0.00;&quot;–&quot;"/>
    <numFmt numFmtId="172" formatCode="0.0%"/>
    <numFmt numFmtId="173" formatCode="0&quot; años&quot;"/>
    <numFmt numFmtId="174" formatCode="0%;\-0%;&quot;–&quot;"/>
  </numFmts>
  <fonts count="15" x14ac:knownFonts="1">
    <font>
      <sz val="10"/>
      <color theme="1"/>
      <name val="Arial"/>
      <family val="2"/>
    </font>
    <font>
      <b/>
      <sz val="16"/>
      <color rgb="FF1B3A6B"/>
      <name val="Arial"/>
    </font>
    <font>
      <i/>
      <sz val="9"/>
      <color rgb="FF6B7280"/>
      <name val="Arial"/>
    </font>
    <font>
      <b/>
      <sz val="10"/>
      <color rgb="FFFFFFFF"/>
      <name val="Arial"/>
    </font>
    <font>
      <sz val="10"/>
      <color rgb="FF1F2937"/>
      <name val="Arial"/>
    </font>
    <font>
      <b/>
      <sz val="10"/>
      <color rgb="FF1D4ED8"/>
      <name val="Arial"/>
    </font>
    <font>
      <b/>
      <sz val="9"/>
      <color rgb="FF6B7280"/>
      <name val="Arial"/>
    </font>
    <font>
      <b/>
      <sz val="10"/>
      <color rgb="FF1F2937"/>
      <name val="Arial"/>
    </font>
    <font>
      <sz val="9"/>
      <color rgb="FF6B7280"/>
      <name val="Arial"/>
    </font>
    <font>
      <b/>
      <sz val="18"/>
      <color rgb="FF1B3A6B"/>
      <name val="Arial"/>
    </font>
    <font>
      <sz val="10"/>
      <color rgb="FF6B7280"/>
      <name val="Arial"/>
    </font>
    <font>
      <b/>
      <sz val="12"/>
      <color rgb="FFFFFFFF"/>
      <name val="Arial"/>
    </font>
    <font>
      <b/>
      <sz val="13"/>
      <color rgb="FFFFFFFF"/>
      <name val="Arial"/>
    </font>
    <font>
      <i/>
      <sz val="8"/>
      <color rgb="FF6B7280"/>
      <name val="Arial"/>
    </font>
    <font>
      <b/>
      <sz val="9"/>
      <color rgb="FF1B3A6B"/>
      <name val="Arial"/>
    </font>
  </fonts>
  <fills count="7">
    <fill>
      <patternFill patternType="none"/>
    </fill>
    <fill>
      <patternFill patternType="gray125"/>
    </fill>
    <fill>
      <patternFill patternType="solid">
        <fgColor rgb="FF1B3A6B"/>
      </patternFill>
    </fill>
    <fill>
      <patternFill patternType="solid">
        <fgColor rgb="FFFFF4EA"/>
      </patternFill>
    </fill>
    <fill>
      <patternFill patternType="solid">
        <fgColor rgb="FF6B7280"/>
      </patternFill>
    </fill>
    <fill>
      <patternFill patternType="solid">
        <fgColor rgb="FFE07A3F"/>
      </patternFill>
    </fill>
    <fill>
      <patternFill patternType="solid">
        <fgColor rgb="FF2F9E6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6DCE5"/>
      </bottom>
      <diagonal/>
    </border>
    <border>
      <left style="thin">
        <color rgb="FFD6DCE5"/>
      </left>
      <right style="thin">
        <color rgb="FFD6DCE5"/>
      </right>
      <top style="thin">
        <color rgb="FFD6DCE5"/>
      </top>
      <bottom style="thin">
        <color rgb="FFD6DCE5"/>
      </bottom>
      <diagonal/>
    </border>
    <border>
      <left/>
      <right/>
      <top/>
      <bottom style="medium">
        <color rgb="FFE07A3F"/>
      </bottom>
      <diagonal/>
    </border>
    <border>
      <left/>
      <right/>
      <top/>
      <bottom style="thin">
        <color rgb="FF6B7280"/>
      </bottom>
      <diagonal/>
    </border>
    <border>
      <left/>
      <right/>
      <top style="thin">
        <color rgb="FF1F2937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3" fillId="0" borderId="0" xfId="0" applyFont="1" applyAlignment="1">
      <alignment horizontal="left" vertical="center" indent="1"/>
    </xf>
    <xf numFmtId="0" fontId="0" fillId="0" borderId="3" xfId="0" applyBorder="1"/>
    <xf numFmtId="0" fontId="6" fillId="0" borderId="0" xfId="0" applyFont="1" applyAlignment="1">
      <alignment horizontal="left" vertical="center" indent="1"/>
    </xf>
    <xf numFmtId="49" fontId="5" fillId="3" borderId="2" xfId="0" applyNumberFormat="1" applyFont="1" applyFill="1" applyBorder="1" applyAlignment="1" applyProtection="1">
      <alignment horizontal="left" vertical="center" indent="1"/>
      <protection locked="0"/>
    </xf>
    <xf numFmtId="0" fontId="5" fillId="3" borderId="2" xfId="0" applyFont="1" applyFill="1" applyBorder="1" applyAlignment="1" applyProtection="1">
      <alignment horizontal="left" vertical="center" indent="1"/>
      <protection locked="0"/>
    </xf>
    <xf numFmtId="0" fontId="6" fillId="0" borderId="4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indent="1"/>
    </xf>
    <xf numFmtId="167" fontId="4" fillId="0" borderId="1" xfId="0" applyNumberFormat="1" applyFont="1" applyBorder="1" applyAlignment="1">
      <alignment horizontal="right" vertical="center"/>
    </xf>
    <xf numFmtId="170" fontId="4" fillId="0" borderId="1" xfId="0" applyNumberFormat="1" applyFont="1" applyBorder="1" applyAlignment="1">
      <alignment horizontal="right" vertical="center"/>
    </xf>
    <xf numFmtId="170" fontId="5" fillId="3" borderId="2" xfId="0" applyNumberFormat="1" applyFont="1" applyFill="1" applyBorder="1" applyAlignment="1" applyProtection="1">
      <alignment horizontal="right" vertical="center"/>
      <protection locked="0"/>
    </xf>
    <xf numFmtId="170" fontId="7" fillId="0" borderId="1" xfId="0" applyNumberFormat="1" applyFont="1" applyBorder="1" applyAlignment="1">
      <alignment horizontal="right" vertical="center"/>
    </xf>
    <xf numFmtId="166" fontId="4" fillId="0" borderId="1" xfId="0" applyNumberFormat="1" applyFont="1" applyBorder="1" applyAlignment="1">
      <alignment horizontal="right" vertical="center"/>
    </xf>
    <xf numFmtId="174" fontId="4" fillId="0" borderId="1" xfId="0" applyNumberFormat="1" applyFont="1" applyBorder="1" applyAlignment="1">
      <alignment horizontal="right" vertical="center"/>
    </xf>
    <xf numFmtId="170" fontId="4" fillId="0" borderId="0" xfId="0" applyNumberFormat="1" applyFont="1" applyAlignment="1">
      <alignment horizontal="right" vertical="center"/>
    </xf>
    <xf numFmtId="1" fontId="5" fillId="3" borderId="2" xfId="0" applyNumberFormat="1" applyFont="1" applyFill="1" applyBorder="1" applyAlignment="1" applyProtection="1">
      <alignment horizontal="center" vertical="center"/>
      <protection locked="0"/>
    </xf>
    <xf numFmtId="166" fontId="7" fillId="0" borderId="0" xfId="0" applyNumberFormat="1" applyFont="1" applyAlignment="1">
      <alignment horizontal="right" vertical="center"/>
    </xf>
    <xf numFmtId="170" fontId="12" fillId="5" borderId="0" xfId="0" applyNumberFormat="1" applyFont="1" applyFill="1" applyAlignment="1">
      <alignment horizontal="right" vertical="center"/>
    </xf>
    <xf numFmtId="171" fontId="8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3" borderId="2" xfId="0" applyFont="1" applyFill="1" applyBorder="1" applyAlignment="1" applyProtection="1">
      <alignment horizontal="center" vertical="center"/>
      <protection locked="0"/>
    </xf>
    <xf numFmtId="166" fontId="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9" fontId="5" fillId="3" borderId="2" xfId="0" applyNumberFormat="1" applyFont="1" applyFill="1" applyBorder="1" applyAlignment="1" applyProtection="1">
      <alignment horizontal="right" vertical="center"/>
      <protection locked="0"/>
    </xf>
    <xf numFmtId="0" fontId="0" fillId="0" borderId="4" xfId="0" applyBorder="1"/>
    <xf numFmtId="0" fontId="8" fillId="0" borderId="1" xfId="0" applyFont="1" applyBorder="1" applyAlignment="1">
      <alignment horizontal="left" vertical="center" indent="1"/>
    </xf>
    <xf numFmtId="172" fontId="4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 indent="1"/>
    </xf>
    <xf numFmtId="172" fontId="7" fillId="0" borderId="0" xfId="0" applyNumberFormat="1" applyFont="1" applyAlignment="1">
      <alignment horizontal="right" vertical="center"/>
    </xf>
    <xf numFmtId="170" fontId="7" fillId="0" borderId="0" xfId="0" applyNumberFormat="1" applyFont="1" applyAlignment="1">
      <alignment horizontal="right" vertical="center"/>
    </xf>
    <xf numFmtId="173" fontId="5" fillId="3" borderId="2" xfId="0" applyNumberFormat="1" applyFont="1" applyFill="1" applyBorder="1" applyAlignment="1" applyProtection="1">
      <alignment horizontal="right" vertical="center"/>
      <protection locked="0"/>
    </xf>
    <xf numFmtId="0" fontId="13" fillId="0" borderId="0" xfId="0" applyFont="1" applyAlignment="1">
      <alignment horizontal="left" indent="1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49" fontId="4" fillId="0" borderId="1" xfId="0" applyNumberFormat="1" applyFont="1" applyBorder="1" applyAlignment="1">
      <alignment horizontal="left" vertical="center" indent="1"/>
    </xf>
    <xf numFmtId="0" fontId="4" fillId="0" borderId="1" xfId="0" applyFont="1" applyBorder="1" applyAlignment="1">
      <alignment horizontal="right" vertical="center"/>
    </xf>
    <xf numFmtId="166" fontId="5" fillId="3" borderId="2" xfId="0" applyNumberFormat="1" applyFont="1" applyFill="1" applyBorder="1" applyAlignment="1" applyProtection="1">
      <alignment horizontal="right" vertical="center"/>
      <protection locked="0"/>
    </xf>
    <xf numFmtId="1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 vertical="center"/>
      <protection locked="0"/>
    </xf>
    <xf numFmtId="10" fontId="5" fillId="3" borderId="2" xfId="0" applyNumberFormat="1" applyFont="1" applyFill="1" applyBorder="1" applyAlignment="1" applyProtection="1">
      <alignment horizontal="right" vertical="center"/>
      <protection locked="0"/>
    </xf>
    <xf numFmtId="9" fontId="7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0" fillId="0" borderId="0" xfId="0"/>
    <xf numFmtId="0" fontId="13" fillId="0" borderId="0" xfId="0" applyFont="1" applyAlignment="1">
      <alignment horizontal="left" vertical="center" indent="1"/>
    </xf>
    <xf numFmtId="170" fontId="4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4" fillId="0" borderId="1" xfId="0" applyFont="1" applyBorder="1" applyAlignment="1">
      <alignment horizontal="left" vertical="center" indent="1"/>
    </xf>
    <xf numFmtId="0" fontId="8" fillId="0" borderId="5" xfId="0" applyFont="1" applyBorder="1" applyAlignment="1">
      <alignment horizontal="center" vertical="center"/>
    </xf>
    <xf numFmtId="0" fontId="0" fillId="0" borderId="5" xfId="0" applyBorder="1"/>
    <xf numFmtId="0" fontId="5" fillId="3" borderId="2" xfId="0" applyFont="1" applyFill="1" applyBorder="1" applyAlignment="1" applyProtection="1">
      <alignment horizontal="left" vertical="center" indent="1"/>
      <protection locked="0"/>
    </xf>
    <xf numFmtId="0" fontId="0" fillId="0" borderId="2" xfId="0" applyBorder="1"/>
    <xf numFmtId="0" fontId="8" fillId="0" borderId="0" xfId="0" applyFont="1" applyAlignment="1">
      <alignment horizontal="left" vertical="center" indent="1"/>
    </xf>
    <xf numFmtId="0" fontId="13" fillId="0" borderId="0" xfId="0" applyFont="1" applyAlignment="1">
      <alignment horizontal="left" vertical="top" wrapText="1" indent="1"/>
    </xf>
    <xf numFmtId="49" fontId="5" fillId="3" borderId="2" xfId="0" applyNumberFormat="1" applyFont="1" applyFill="1" applyBorder="1" applyAlignment="1" applyProtection="1">
      <alignment horizontal="left" vertical="center" indent="1"/>
      <protection locked="0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indent="1"/>
    </xf>
    <xf numFmtId="0" fontId="8" fillId="0" borderId="0" xfId="0" applyFont="1" applyAlignment="1">
      <alignment horizontal="right" vertical="center"/>
    </xf>
    <xf numFmtId="0" fontId="3" fillId="2" borderId="0" xfId="0" applyFont="1" applyFill="1" applyAlignment="1">
      <alignment horizontal="left" vertical="center" indent="1"/>
    </xf>
    <xf numFmtId="169" fontId="5" fillId="3" borderId="2" xfId="0" applyNumberFormat="1" applyFont="1" applyFill="1" applyBorder="1" applyAlignment="1" applyProtection="1">
      <alignment horizontal="left" vertical="center" indent="1"/>
      <protection locked="0"/>
    </xf>
    <xf numFmtId="170" fontId="7" fillId="0" borderId="0" xfId="0" applyNumberFormat="1" applyFont="1" applyAlignment="1">
      <alignment horizontal="right" vertical="center"/>
    </xf>
    <xf numFmtId="0" fontId="3" fillId="4" borderId="0" xfId="0" applyFont="1" applyFill="1" applyAlignment="1">
      <alignment horizontal="left" vertical="center" indent="1"/>
    </xf>
    <xf numFmtId="0" fontId="3" fillId="6" borderId="0" xfId="0" applyFont="1" applyFill="1" applyAlignment="1">
      <alignment horizontal="center" vertical="center" wrapText="1"/>
    </xf>
    <xf numFmtId="169" fontId="7" fillId="0" borderId="0" xfId="0" applyNumberFormat="1" applyFont="1" applyAlignment="1">
      <alignment horizontal="left" vertical="center" indent="1"/>
    </xf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 indent="1"/>
    </xf>
    <xf numFmtId="0" fontId="11" fillId="5" borderId="0" xfId="0" applyFont="1" applyFill="1" applyAlignment="1">
      <alignment horizontal="right" vertical="center"/>
    </xf>
  </cellXfs>
  <cellStyles count="1">
    <cellStyle name="Normal" xfId="0" builtinId="0" customBuiltin="1"/>
  </cellStyles>
  <dxfs count="19">
    <dxf>
      <font>
        <b/>
        <color rgb="FFC4473F"/>
      </font>
    </dxf>
    <dxf>
      <font>
        <b/>
        <color rgb="FF8A8780"/>
        <name val="Arial"/>
      </font>
    </dxf>
    <dxf>
      <font>
        <b/>
        <color rgb="FFC4473F"/>
        <name val="Arial"/>
      </font>
    </dxf>
    <dxf>
      <font>
        <b/>
        <color rgb="FFE0A030"/>
        <name val="Arial"/>
      </font>
    </dxf>
    <dxf>
      <font>
        <b/>
        <color rgb="FF2F9E6A"/>
        <name val="Arial"/>
      </font>
    </dxf>
    <dxf>
      <font>
        <color rgb="FF9CA3AF"/>
        <name val="Arial"/>
      </font>
    </dxf>
    <dxf>
      <font>
        <b/>
        <color rgb="FFB45309"/>
        <name val="Arial"/>
      </font>
    </dxf>
    <dxf>
      <font>
        <b/>
        <color rgb="FFC4473F"/>
        <name val="Arial"/>
      </font>
      <fill>
        <patternFill patternType="solid">
          <bgColor rgb="FFFBE3E1"/>
        </patternFill>
      </fill>
    </dxf>
    <dxf>
      <font>
        <b/>
        <color rgb="FFC4473F"/>
        <name val="Arial"/>
      </font>
    </dxf>
    <dxf>
      <font>
        <b/>
        <color rgb="FF8A8780"/>
        <name val="Arial"/>
      </font>
    </dxf>
    <dxf>
      <font>
        <b/>
        <color rgb="FFC4473F"/>
        <name val="Arial"/>
      </font>
    </dxf>
    <dxf>
      <font>
        <b/>
        <color rgb="FFE0A030"/>
        <name val="Arial"/>
      </font>
    </dxf>
    <dxf>
      <font>
        <b/>
        <color rgb="FF2F9E6A"/>
        <name val="Arial"/>
      </font>
    </dxf>
    <dxf>
      <fill>
        <patternFill patternType="solid">
          <bgColor rgb="FFC4473F"/>
        </patternFill>
      </fill>
    </dxf>
    <dxf>
      <font>
        <b/>
        <color rgb="FFC4473F"/>
        <name val="Arial"/>
      </font>
      <fill>
        <patternFill patternType="solid">
          <bgColor rgb="FFFBE3E1"/>
        </patternFill>
      </fill>
    </dxf>
    <dxf>
      <font>
        <b/>
        <color rgb="FFC4473F"/>
        <name val="Arial"/>
      </font>
      <fill>
        <patternFill patternType="solid">
          <bgColor rgb="FFFBE3E1"/>
        </patternFill>
      </fill>
    </dxf>
    <dxf>
      <font>
        <strike/>
        <color rgb="FFB0B7C3"/>
        <name val="Arial"/>
      </font>
    </dxf>
    <dxf>
      <font>
        <color rgb="FFB0B7C3"/>
        <name val="Arial"/>
      </font>
    </dxf>
    <dxf>
      <font>
        <color rgb="FFB0B7C3"/>
        <name val="Arial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809750" cy="5429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Inventario" displayName="tInventario" ref="A4:M43">
  <autoFilter ref="A4:M43" xr:uid="{00000000-0009-0000-0100-000001000000}"/>
  <tableColumns count="13">
    <tableColumn id="1" xr3:uid="{00000000-0010-0000-0000-000001000000}" name="Código"/>
    <tableColumn id="2" xr3:uid="{00000000-0010-0000-0000-000002000000}" name="Tipo"/>
    <tableColumn id="3" xr3:uid="{00000000-0010-0000-0000-000003000000}" name="Ubicación"/>
    <tableColumn id="4" xr3:uid="{00000000-0010-0000-0000-000004000000}" name="Dorm."/>
    <tableColumn id="5" xr3:uid="{00000000-0010-0000-0000-000005000000}" name="Baños"/>
    <tableColumn id="6" xr3:uid="{00000000-0010-0000-0000-000006000000}" name="Vista"/>
    <tableColumn id="7" xr3:uid="{00000000-0010-0000-0000-000007000000}" name="Área"/>
    <tableColumn id="8" xr3:uid="{00000000-0010-0000-0000-000008000000}" name="Precio Lanzamiento"/>
    <tableColumn id="9" xr3:uid="{00000000-0010-0000-0000-000009000000}" name="Precio Feria Inmobiliaria"/>
    <tableColumn id="10" xr3:uid="{00000000-0010-0000-0000-00000A000000}" name="Tope de descuento"/>
    <tableColumn id="11" xr3:uid="{00000000-0010-0000-0000-00000B000000}" name="Estado"/>
    <tableColumn id="12" xr3:uid="{00000000-0010-0000-0000-00000C000000}" name="Precio m²"/>
    <tableColumn id="13" xr3:uid="{00000000-0010-0000-0000-00000D000000}" name="Descripción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61"/>
  <sheetViews>
    <sheetView showGridLines="0" tabSelected="1" workbookViewId="0">
      <selection activeCell="C6" sqref="C6:E6"/>
    </sheetView>
  </sheetViews>
  <sheetFormatPr baseColWidth="10" defaultColWidth="8.7265625" defaultRowHeight="12.5" x14ac:dyDescent="0.25"/>
  <cols>
    <col min="1" max="1" width="2" customWidth="1"/>
    <col min="2" max="2" width="17" customWidth="1"/>
    <col min="3" max="3" width="11" customWidth="1"/>
    <col min="4" max="4" width="30" customWidth="1"/>
    <col min="5" max="5" width="12" customWidth="1"/>
    <col min="6" max="6" width="11" customWidth="1"/>
    <col min="7" max="7" width="15" customWidth="1"/>
    <col min="8" max="8" width="14" customWidth="1"/>
    <col min="9" max="9" width="17" customWidth="1"/>
    <col min="10" max="10" width="3" customWidth="1"/>
    <col min="11" max="11" width="22" customWidth="1"/>
    <col min="12" max="12" width="13" customWidth="1"/>
    <col min="13" max="13" width="12" customWidth="1"/>
    <col min="14" max="14" width="9" customWidth="1"/>
    <col min="15" max="15" width="36" customWidth="1"/>
  </cols>
  <sheetData>
    <row r="2" spans="2:15" ht="24" customHeight="1" x14ac:dyDescent="0.25">
      <c r="F2" s="70" t="str">
        <f>UPPER(cfgProyecto)</f>
        <v>CRUZ MIRADOR</v>
      </c>
      <c r="G2" s="49"/>
      <c r="H2" s="49"/>
      <c r="I2" s="49"/>
      <c r="K2" s="67" t="s">
        <v>0</v>
      </c>
      <c r="L2" s="49"/>
      <c r="M2" s="49"/>
      <c r="N2" s="49"/>
      <c r="O2" s="49"/>
    </row>
    <row r="3" spans="2:15" ht="24" customHeight="1" x14ac:dyDescent="0.25">
      <c r="F3" s="63" t="str">
        <f>cfgLema&amp;"  ·  "&amp;cfgDireccion</f>
        <v>Diez pisos de vista abierta.  ·  Av. Los Fresnos 1180, Jesús María</v>
      </c>
      <c r="G3" s="49"/>
      <c r="H3" s="49"/>
      <c r="I3" s="49"/>
      <c r="K3" s="50" t="s">
        <v>1</v>
      </c>
      <c r="L3" s="49"/>
      <c r="M3" s="49"/>
      <c r="N3" s="49"/>
      <c r="O3" s="49"/>
    </row>
    <row r="4" spans="2:15" x14ac:dyDescent="0.25">
      <c r="B4" s="2"/>
      <c r="C4" s="2"/>
      <c r="D4" s="2"/>
      <c r="E4" s="2"/>
      <c r="F4" s="2"/>
      <c r="G4" s="2"/>
      <c r="H4" s="2"/>
      <c r="I4" s="2"/>
    </row>
    <row r="6" spans="2:15" ht="18" customHeight="1" x14ac:dyDescent="0.25">
      <c r="B6" s="3" t="s">
        <v>2</v>
      </c>
      <c r="C6" s="60"/>
      <c r="D6" s="57"/>
      <c r="E6" s="57"/>
      <c r="G6" s="3" t="s">
        <v>3</v>
      </c>
      <c r="H6" s="56" t="str">
        <f>"CM-"&amp;TEXT(cfgCorrelativo,"0000")</f>
        <v>CM-0001</v>
      </c>
      <c r="I6" s="57"/>
    </row>
    <row r="7" spans="2:15" ht="18" customHeight="1" x14ac:dyDescent="0.25">
      <c r="B7" s="3" t="s">
        <v>4</v>
      </c>
      <c r="C7" s="60"/>
      <c r="D7" s="57"/>
      <c r="E7" s="57"/>
      <c r="G7" s="3" t="s">
        <v>5</v>
      </c>
      <c r="H7" s="65">
        <v>46313</v>
      </c>
      <c r="I7" s="57"/>
    </row>
    <row r="8" spans="2:15" ht="18" customHeight="1" x14ac:dyDescent="0.25">
      <c r="B8" s="3" t="s">
        <v>6</v>
      </c>
      <c r="C8" s="60"/>
      <c r="D8" s="57"/>
      <c r="E8" s="57"/>
      <c r="G8" s="3" t="s">
        <v>7</v>
      </c>
      <c r="H8" s="69">
        <f>H7+cfgValidez</f>
        <v>46320</v>
      </c>
      <c r="I8" s="49"/>
    </row>
    <row r="9" spans="2:15" ht="18" customHeight="1" x14ac:dyDescent="0.25">
      <c r="B9" s="3" t="s">
        <v>8</v>
      </c>
      <c r="C9" s="60"/>
      <c r="D9" s="57"/>
      <c r="E9" s="57"/>
      <c r="G9" s="3" t="s">
        <v>9</v>
      </c>
      <c r="H9" s="56" t="s">
        <v>10</v>
      </c>
      <c r="I9" s="57"/>
    </row>
    <row r="11" spans="2:15" ht="20" customHeight="1" x14ac:dyDescent="0.25">
      <c r="B11" s="64" t="s">
        <v>11</v>
      </c>
      <c r="C11" s="49"/>
      <c r="D11" s="49"/>
      <c r="E11" s="49"/>
      <c r="F11" s="49"/>
      <c r="G11" s="49"/>
      <c r="H11" s="49"/>
      <c r="I11" s="49"/>
    </row>
    <row r="12" spans="2:15" ht="13" x14ac:dyDescent="0.25">
      <c r="B12" s="3" t="s">
        <v>12</v>
      </c>
      <c r="C12" s="56" t="s">
        <v>13</v>
      </c>
      <c r="D12" s="57"/>
    </row>
    <row r="14" spans="2:15" x14ac:dyDescent="0.25">
      <c r="B14" s="6" t="s">
        <v>14</v>
      </c>
      <c r="C14" s="6" t="s">
        <v>15</v>
      </c>
      <c r="D14" s="6" t="s">
        <v>16</v>
      </c>
      <c r="E14" s="6" t="s">
        <v>17</v>
      </c>
      <c r="F14" s="7" t="s">
        <v>18</v>
      </c>
      <c r="G14" s="7" t="s">
        <v>19</v>
      </c>
      <c r="H14" s="7" t="s">
        <v>20</v>
      </c>
      <c r="I14" s="7" t="s">
        <v>21</v>
      </c>
      <c r="K14" s="6" t="s">
        <v>22</v>
      </c>
      <c r="L14" s="6" t="s">
        <v>23</v>
      </c>
      <c r="M14" s="7" t="s">
        <v>24</v>
      </c>
      <c r="N14" s="7" t="s">
        <v>25</v>
      </c>
      <c r="O14" s="6" t="s">
        <v>26</v>
      </c>
    </row>
    <row r="15" spans="2:15" ht="22" customHeight="1" x14ac:dyDescent="0.25">
      <c r="B15" s="8" t="s">
        <v>27</v>
      </c>
      <c r="C15" s="4" t="s">
        <v>28</v>
      </c>
      <c r="D15" s="9" t="str">
        <f>IF(OR(C15="",C15="Ninguno"),"",IFERROR(INDEX(invDesc,MATCH(C15,invCodigo,0)),"Código no encontrado"))</f>
        <v>3 dorm. · 2 baños · Vista exterior</v>
      </c>
      <c r="E15" s="10" t="str">
        <f>IF(OR(C15="",C15="Ninguno"),"",IFERROR(INDEX(invUbic,MATCH(C15,invCodigo,0)),""))</f>
        <v>Piso 8</v>
      </c>
      <c r="F15" s="11">
        <f>IF(OR(C15="",C15="Ninguno"),0,IFERROR(INDEX(invArea,MATCH(C15,invCodigo,0)),0))</f>
        <v>78.3</v>
      </c>
      <c r="G15" s="12">
        <f>IF(OR(C15="",C15="Ninguno"),0,IFERROR(INDEX(IF(cotCampania="Feria Inmobiliaria",invPrecio2,invPrecio1),MATCH(C15,invCodigo,0)),0))</f>
        <v>493290</v>
      </c>
      <c r="H15" s="13">
        <v>0</v>
      </c>
      <c r="I15" s="14">
        <f>MAX(0,G15-H15)</f>
        <v>493290</v>
      </c>
      <c r="K15" s="10" t="str">
        <f>IF(OR(C15="",C15="Ninguno"),"—",B15&amp;" "&amp;C15)</f>
        <v>Departamento 803</v>
      </c>
      <c r="L15" s="8" t="str">
        <f>IF(OR(C15="",C15="Ninguno"),"",IFERROR(INDEX(invEstado,MATCH(C15,invCodigo,0)),"No existe"))</f>
        <v>Disponible</v>
      </c>
      <c r="M15" s="15">
        <f>IF(OR(C15="",C15="Ninguno"),0,IFERROR(INDEX(invTope,MATCH(C15,invCodigo,0)),0))</f>
        <v>15000</v>
      </c>
      <c r="N15" s="16">
        <f>IF(M15=0,0,H15/M15)</f>
        <v>0</v>
      </c>
      <c r="O15" s="10" t="str">
        <f>IF(OR(C15="",C15="Ninguno"),"",IF(H15&lt;=0,"Sin descuento",IF(H15&gt;M15,"Supera el tope · requiere gerencia",IF(H15=M15,"Tope completo",IF(H15&gt;=M15*cfgTramoExcepcional,"Excepcional",IF(H15&gt;=M15*cfgTramoEspecial,"Especial","Dentro del margen"))))))</f>
        <v>Sin descuento</v>
      </c>
    </row>
    <row r="16" spans="2:15" ht="22" customHeight="1" x14ac:dyDescent="0.25">
      <c r="B16" s="8" t="s">
        <v>29</v>
      </c>
      <c r="C16" s="4" t="s">
        <v>30</v>
      </c>
      <c r="D16" s="9" t="str">
        <f>IF(OR(C16="",C16="Ninguno"),"",IFERROR(INDEX(invDesc,MATCH(C16,invCodigo,0)),"Código no encontrado"))</f>
        <v/>
      </c>
      <c r="E16" s="10" t="str">
        <f>IF(OR(C16="",C16="Ninguno"),"",IFERROR(INDEX(invUbic,MATCH(C16,invCodigo,0)),""))</f>
        <v/>
      </c>
      <c r="F16" s="11">
        <f>IF(OR(C16="",C16="Ninguno"),0,IFERROR(INDEX(invArea,MATCH(C16,invCodigo,0)),0))</f>
        <v>0</v>
      </c>
      <c r="G16" s="12">
        <f>IF(OR(C16="",C16="Ninguno"),0,IFERROR(INDEX(IF(cotCampania="Feria Inmobiliaria",invPrecio2,invPrecio1),MATCH(C16,invCodigo,0)),0))</f>
        <v>0</v>
      </c>
      <c r="H16" s="13">
        <v>0</v>
      </c>
      <c r="I16" s="14">
        <f>MAX(0,G16-H16)</f>
        <v>0</v>
      </c>
      <c r="K16" s="10" t="str">
        <f>IF(OR(C16="",C16="Ninguno"),"—",B16&amp;" "&amp;C16)</f>
        <v>—</v>
      </c>
      <c r="L16" s="8" t="str">
        <f>IF(OR(C16="",C16="Ninguno"),"",IFERROR(INDEX(invEstado,MATCH(C16,invCodigo,0)),"No existe"))</f>
        <v/>
      </c>
      <c r="M16" s="15">
        <f>IF(OR(C16="",C16="Ninguno"),0,IFERROR(INDEX(invTope,MATCH(C16,invCodigo,0)),0))</f>
        <v>0</v>
      </c>
      <c r="N16" s="16">
        <f>IF(M16=0,0,H16/M16)</f>
        <v>0</v>
      </c>
      <c r="O16" s="10" t="str">
        <f>IF(OR(C16="",C16="Ninguno"),"",IF(H16&lt;=0,"Sin descuento",IF(H16&gt;M16,"Supera el tope · requiere gerencia",IF(H16=M16,"Tope completo",IF(H16&gt;=M16*cfgTramoExcepcional,"Excepcional",IF(H16&gt;=M16*cfgTramoEspecial,"Especial","Dentro del margen"))))))</f>
        <v/>
      </c>
    </row>
    <row r="17" spans="2:15" ht="22" customHeight="1" x14ac:dyDescent="0.25">
      <c r="B17" s="8" t="s">
        <v>31</v>
      </c>
      <c r="C17" s="4" t="s">
        <v>32</v>
      </c>
      <c r="D17" s="9" t="str">
        <f>IF(OR(C17="",C17="Ninguno"),"",IFERROR(INDEX(invDesc,MATCH(C17,invCodigo,0)),"Código no encontrado"))</f>
        <v>Depósito</v>
      </c>
      <c r="E17" s="10" t="str">
        <f>IF(OR(C17="",C17="Ninguno"),"",IFERROR(INDEX(invUbic,MATCH(C17,invCodigo,0)),""))</f>
        <v>Sótano 2</v>
      </c>
      <c r="F17" s="11">
        <f>IF(OR(C17="",C17="Ninguno"),0,IFERROR(INDEX(invArea,MATCH(C17,invCodigo,0)),0))</f>
        <v>3.72</v>
      </c>
      <c r="G17" s="12">
        <f>IF(OR(C17="",C17="Ninguno"),0,IFERROR(INDEX(IF(cotCampania="Feria Inmobiliaria",invPrecio2,invPrecio1),MATCH(C17,invCodigo,0)),0))</f>
        <v>9670</v>
      </c>
      <c r="H17" s="13">
        <v>0</v>
      </c>
      <c r="I17" s="14">
        <f>MAX(0,G17-H17)</f>
        <v>9670</v>
      </c>
      <c r="K17" s="10" t="str">
        <f>IF(OR(C17="",C17="Ninguno"),"—",B17&amp;" "&amp;C17)</f>
        <v>Depósito D-02</v>
      </c>
      <c r="L17" s="8" t="str">
        <f>IF(OR(C17="",C17="Ninguno"),"",IFERROR(INDEX(invEstado,MATCH(C17,invCodigo,0)),"No existe"))</f>
        <v>Disponible</v>
      </c>
      <c r="M17" s="15">
        <f>IF(OR(C17="",C17="Ninguno"),0,IFERROR(INDEX(invTope,MATCH(C17,invCodigo,0)),0))</f>
        <v>1500</v>
      </c>
      <c r="N17" s="16">
        <f>IF(M17=0,0,H17/M17)</f>
        <v>0</v>
      </c>
      <c r="O17" s="10" t="str">
        <f>IF(OR(C17="",C17="Ninguno"),"",IF(H17&lt;=0,"Sin descuento",IF(H17&gt;M17,"Supera el tope · requiere gerencia",IF(H17=M17,"Tope completo",IF(H17&gt;=M17*cfgTramoExcepcional,"Excepcional",IF(H17&gt;=M17*cfgTramoEspecial,"Especial","Dentro del margen"))))))</f>
        <v>Sin descuento</v>
      </c>
    </row>
    <row r="19" spans="2:15" ht="13" x14ac:dyDescent="0.25">
      <c r="F19" s="48" t="s">
        <v>19</v>
      </c>
      <c r="G19" s="49"/>
      <c r="H19" s="49"/>
      <c r="I19" s="17">
        <f>SUM(G15:G17)</f>
        <v>502960</v>
      </c>
      <c r="K19" s="3" t="s">
        <v>33</v>
      </c>
      <c r="M19" s="18">
        <v>1</v>
      </c>
    </row>
    <row r="20" spans="2:15" ht="13" x14ac:dyDescent="0.25">
      <c r="F20" s="48" t="s">
        <v>34</v>
      </c>
      <c r="G20" s="49"/>
      <c r="H20" s="49"/>
      <c r="I20" s="17">
        <f>-SUM(H15:H17)</f>
        <v>0</v>
      </c>
      <c r="K20" s="3" t="s">
        <v>35</v>
      </c>
      <c r="M20" s="19">
        <f>ROUND(M15*VLOOKUP(MIN(M19,MAX(lstCitas)),tEscalera,2,FALSE)/500,0)*500</f>
        <v>3000</v>
      </c>
    </row>
    <row r="21" spans="2:15" ht="26" customHeight="1" x14ac:dyDescent="0.25">
      <c r="F21" s="72" t="s">
        <v>36</v>
      </c>
      <c r="G21" s="49"/>
      <c r="H21" s="49"/>
      <c r="I21" s="20">
        <f>SUM(I15:I17)</f>
        <v>502960</v>
      </c>
      <c r="K21" s="59" t="str">
        <f>VLOOKUP(MIN(M19,MAX(lstCitas)),tEscalera,4,FALSE)</f>
        <v>Primera cita: muestra que hay margen, sin comprometer el tope.</v>
      </c>
      <c r="L21" s="49"/>
      <c r="M21" s="49"/>
      <c r="N21" s="49"/>
      <c r="O21" s="49"/>
    </row>
    <row r="22" spans="2:15" x14ac:dyDescent="0.25">
      <c r="F22" s="63" t="str">
        <f>"Equivalente referencial (T.C. "&amp;TEXT(cfgTC,"0.000")&amp;")"</f>
        <v>Equivalente referencial (T.C. 3.500)</v>
      </c>
      <c r="G22" s="49"/>
      <c r="H22" s="49"/>
      <c r="I22" s="21">
        <f>cotTotal/cfgTC</f>
        <v>143702.85714285713</v>
      </c>
      <c r="K22" s="49"/>
      <c r="L22" s="49"/>
      <c r="M22" s="49"/>
      <c r="N22" s="49"/>
      <c r="O22" s="49"/>
    </row>
    <row r="23" spans="2:15" ht="30" customHeight="1" x14ac:dyDescent="0.25">
      <c r="K23" s="68" t="str">
        <f>IF(COUNTIF(L15:L17,"Disponible")&lt;COUNTA(K15:K17)-COUNTIF(K15:K17,"—"),"⚠ Hay una unidad que ya no está disponible",IF(COUNTIF(O15:O17,"*gerencia*")&gt;0,"⚠ Requiere aprobación de gerencia","✓ Lista para imprimir"))</f>
        <v>✓ Lista para imprimir</v>
      </c>
      <c r="L23" s="49"/>
      <c r="M23" s="49"/>
      <c r="N23" s="49"/>
      <c r="O23" s="49"/>
    </row>
    <row r="24" spans="2:15" ht="20" customHeight="1" x14ac:dyDescent="0.25">
      <c r="B24" s="64" t="s">
        <v>37</v>
      </c>
      <c r="C24" s="49"/>
      <c r="D24" s="49"/>
      <c r="E24" s="49"/>
      <c r="F24" s="49"/>
      <c r="G24" s="49"/>
      <c r="H24" s="49"/>
      <c r="I24" s="49"/>
    </row>
    <row r="25" spans="2:15" ht="13" x14ac:dyDescent="0.25">
      <c r="B25" s="3" t="s">
        <v>38</v>
      </c>
      <c r="C25" s="3" t="s">
        <v>39</v>
      </c>
      <c r="I25" s="22" t="s">
        <v>40</v>
      </c>
      <c r="K25" s="3" t="s">
        <v>41</v>
      </c>
      <c r="M25" s="19">
        <f>IF(cotInicial&gt;cfgInicialSugerida,INT(ROUND((cotInicial-cfgInicialSugerida)*100,6)/10)*cfgBonoInicial,0)</f>
        <v>0</v>
      </c>
    </row>
    <row r="26" spans="2:15" ht="16" customHeight="1" x14ac:dyDescent="0.25">
      <c r="B26" s="23" t="s">
        <v>42</v>
      </c>
      <c r="C26" s="62" t="str">
        <f>INDEX(tBeneficios,1,1)&amp;" — "&amp;INDEX(tBeneficios,1,4)</f>
        <v>Kit de cocina — Encimera de cuarzo, campana extractora y horno empotrado</v>
      </c>
      <c r="D26" s="49"/>
      <c r="E26" s="49"/>
      <c r="F26" s="49"/>
      <c r="G26" s="49"/>
      <c r="H26" s="49"/>
      <c r="I26" s="24">
        <f>IF(B26="Sí",INDEX(tBeneficios,1,2),0)</f>
        <v>0</v>
      </c>
      <c r="K26" s="1" t="str">
        <f>"Por cada 10 % de inicial sobre el "&amp;TEXT(cfgInicialSugerida,"0%")&amp;". Se aplica a mano, como descuento."</f>
        <v>Por cada 10 % de inicial sobre el 30%. Se aplica a mano, como descuento.</v>
      </c>
    </row>
    <row r="27" spans="2:15" ht="16" customHeight="1" x14ac:dyDescent="0.25">
      <c r="B27" s="23" t="s">
        <v>42</v>
      </c>
      <c r="C27" s="62" t="str">
        <f>INDEX(tBeneficios,2,1)&amp;" — "&amp;INDEX(tBeneficios,2,4)</f>
        <v>Closets terminados — Closets de melamina en todos los dormitorios</v>
      </c>
      <c r="D27" s="49"/>
      <c r="E27" s="49"/>
      <c r="F27" s="49"/>
      <c r="G27" s="49"/>
      <c r="H27" s="49"/>
      <c r="I27" s="24">
        <f>IF(B27="Sí",INDEX(tBeneficios,2,2),0)</f>
        <v>0</v>
      </c>
    </row>
    <row r="28" spans="2:15" ht="16" customHeight="1" x14ac:dyDescent="0.25">
      <c r="B28" s="23" t="s">
        <v>42</v>
      </c>
      <c r="C28" s="62" t="str">
        <f>INDEX(tBeneficios,3,1)&amp;" — "&amp;INDEX(tBeneficios,3,4)</f>
        <v>Mantenimiento pagado — El primer año de mantenimiento corre por cuenta de Cruz</v>
      </c>
      <c r="D28" s="49"/>
      <c r="E28" s="49"/>
      <c r="F28" s="49"/>
      <c r="G28" s="49"/>
      <c r="H28" s="49"/>
      <c r="I28" s="24">
        <f>IF(B28="Sí",INDEX(tBeneficios,3,2),0)</f>
        <v>0</v>
      </c>
    </row>
    <row r="29" spans="2:15" ht="16" customHeight="1" x14ac:dyDescent="0.25">
      <c r="B29" s="23" t="s">
        <v>42</v>
      </c>
      <c r="C29" s="62" t="str">
        <f>INDEX(tBeneficios,4,1)&amp;" — "&amp;INDEX(tBeneficios,4,4)</f>
        <v>Cortinas blackout — Cortinas roller blackout en sala y dormitorios</v>
      </c>
      <c r="D29" s="49"/>
      <c r="E29" s="49"/>
      <c r="F29" s="49"/>
      <c r="G29" s="49"/>
      <c r="H29" s="49"/>
      <c r="I29" s="24">
        <f>IF(B29="Sí",INDEX(tBeneficios,4,2),0)</f>
        <v>0</v>
      </c>
      <c r="K29" s="25" t="s">
        <v>43</v>
      </c>
    </row>
    <row r="30" spans="2:15" ht="13" x14ac:dyDescent="0.25">
      <c r="F30" s="63" t="s">
        <v>44</v>
      </c>
      <c r="G30" s="49"/>
      <c r="H30" s="49"/>
      <c r="I30" s="19">
        <f>SUM(I26:I29)</f>
        <v>0</v>
      </c>
      <c r="K30" s="26" t="s">
        <v>45</v>
      </c>
    </row>
    <row r="31" spans="2:15" x14ac:dyDescent="0.25">
      <c r="K31" s="26" t="s">
        <v>46</v>
      </c>
    </row>
    <row r="32" spans="2:15" ht="20" customHeight="1" x14ac:dyDescent="0.25">
      <c r="B32" s="64" t="s">
        <v>47</v>
      </c>
      <c r="C32" s="49"/>
      <c r="D32" s="49"/>
      <c r="E32" s="49"/>
      <c r="F32" s="49"/>
      <c r="G32" s="49"/>
      <c r="H32" s="49"/>
      <c r="I32" s="49"/>
      <c r="K32" s="26" t="s">
        <v>48</v>
      </c>
    </row>
    <row r="33" spans="2:11" ht="13" x14ac:dyDescent="0.25">
      <c r="B33" s="3" t="s">
        <v>49</v>
      </c>
      <c r="C33" s="56" t="s">
        <v>50</v>
      </c>
      <c r="D33" s="57"/>
      <c r="F33" s="3" t="s">
        <v>51</v>
      </c>
      <c r="G33" s="56" t="s">
        <v>52</v>
      </c>
      <c r="H33" s="57"/>
      <c r="I33" s="57"/>
      <c r="K33" s="26" t="s">
        <v>53</v>
      </c>
    </row>
    <row r="34" spans="2:11" ht="13" x14ac:dyDescent="0.25">
      <c r="B34" s="3" t="s">
        <v>54</v>
      </c>
      <c r="C34" s="27">
        <v>0.3</v>
      </c>
      <c r="D34" s="1" t="str">
        <f>IF(cotModalidad="Crédito hipotecario","El plan de obra no aplica: el banco paga el saldo.","Las demás cuotas se reparten en la proporción del plan.")</f>
        <v>Las demás cuotas se reparten en la proporción del plan.</v>
      </c>
      <c r="K34" s="26" t="s">
        <v>55</v>
      </c>
    </row>
    <row r="36" spans="2:11" x14ac:dyDescent="0.25">
      <c r="B36" s="6" t="s">
        <v>56</v>
      </c>
      <c r="C36" s="6" t="s">
        <v>57</v>
      </c>
      <c r="D36" s="28"/>
      <c r="E36" s="28"/>
      <c r="F36" s="28"/>
      <c r="G36" s="7" t="s">
        <v>58</v>
      </c>
      <c r="H36" s="28"/>
      <c r="I36" s="7" t="s">
        <v>59</v>
      </c>
    </row>
    <row r="37" spans="2:11" x14ac:dyDescent="0.25">
      <c r="B37" s="29">
        <f>IF(C37="","",1)</f>
        <v>1</v>
      </c>
      <c r="C37" s="53" t="str">
        <f>"Inicial"</f>
        <v>Inicial</v>
      </c>
      <c r="D37" s="52"/>
      <c r="E37" s="52"/>
      <c r="F37" s="52"/>
      <c r="G37" s="30">
        <f>cotInicial</f>
        <v>0.3</v>
      </c>
      <c r="H37" s="51">
        <f>IF(G37="","",ROUND(SUM(G$37:G37)*cotTotal,2))</f>
        <v>150888</v>
      </c>
      <c r="I37" s="52"/>
    </row>
    <row r="38" spans="2:11" x14ac:dyDescent="0.25">
      <c r="B38" s="29">
        <f>IF(C38="","",2)</f>
        <v>2</v>
      </c>
      <c r="C38" s="53" t="str">
        <f>IF(cotModalidad="Crédito hipotecario","Saldo con crédito hipotecario",IF(INDEX(tPlanes,2,3*MATCH(cotPlan,lstPlanes,0)-2)=0,"",INDEX(tPlanes,2,3*MATCH(cotPlan,lstPlanes,0)-2)))</f>
        <v>Casco rojo</v>
      </c>
      <c r="D38" s="52"/>
      <c r="E38" s="52"/>
      <c r="F38" s="52"/>
      <c r="G38" s="30">
        <f>IF(cotModalidad="Crédito hipotecario",1-cotInicial,IF(N(INDEX(tPlanes,2,3*MATCH(cotPlan,lstPlanes,0)-1))=0,"",INDEX(tPlanes,2,3*MATCH(cotPlan,lstPlanes,0)-1)*(1-cotInicial)/(1-INDEX(tPlanes,1,3*MATCH(cotPlan,lstPlanes,0)-1))))</f>
        <v>0.39999999999999997</v>
      </c>
      <c r="H38" s="51">
        <f>IF(G38="","",ROUND(SUM(G$37:G38)*cotTotal,2)-ROUND(SUM(G$37:G37)*cotTotal,2))</f>
        <v>201184</v>
      </c>
      <c r="I38" s="52"/>
    </row>
    <row r="39" spans="2:11" x14ac:dyDescent="0.25">
      <c r="B39" s="29">
        <f>IF(C39="","",3)</f>
        <v>3</v>
      </c>
      <c r="C39" s="53" t="str">
        <f>IF(cotModalidad="Crédito hipotecario","",IF(INDEX(tPlanes,3,3*MATCH(cotPlan,lstPlanes,0)-2)=0,"",INDEX(tPlanes,3,3*MATCH(cotPlan,lstPlanes,0)-2)))</f>
        <v>Casco gris</v>
      </c>
      <c r="D39" s="52"/>
      <c r="E39" s="52"/>
      <c r="F39" s="52"/>
      <c r="G39" s="30">
        <f>IF(cotModalidad="Crédito hipotecario","",IF(N(INDEX(tPlanes,3,3*MATCH(cotPlan,lstPlanes,0)-1))=0,"",INDEX(tPlanes,3,3*MATCH(cotPlan,lstPlanes,0)-1)*(1-cotInicial)/(1-INDEX(tPlanes,1,3*MATCH(cotPlan,lstPlanes,0)-1))))</f>
        <v>0.19999999999999998</v>
      </c>
      <c r="H39" s="51">
        <f>IF(G39="","",ROUND(SUM(G$37:G39)*cotTotal,2)-ROUND(SUM(G$37:G38)*cotTotal,2))</f>
        <v>100592</v>
      </c>
      <c r="I39" s="52"/>
    </row>
    <row r="40" spans="2:11" x14ac:dyDescent="0.25">
      <c r="B40" s="29">
        <f>IF(C40="","",4)</f>
        <v>4</v>
      </c>
      <c r="C40" s="53" t="str">
        <f>IF(cotModalidad="Crédito hipotecario","",IF(INDEX(tPlanes,4,3*MATCH(cotPlan,lstPlanes,0)-2)=0,"",INDEX(tPlanes,4,3*MATCH(cotPlan,lstPlanes,0)-2)))</f>
        <v>Entrega de llaves</v>
      </c>
      <c r="D40" s="52"/>
      <c r="E40" s="52"/>
      <c r="F40" s="52"/>
      <c r="G40" s="30">
        <f>IF(cotModalidad="Crédito hipotecario","",IF(N(INDEX(tPlanes,4,3*MATCH(cotPlan,lstPlanes,0)-1))=0,"",INDEX(tPlanes,4,3*MATCH(cotPlan,lstPlanes,0)-1)*(1-cotInicial)/(1-INDEX(tPlanes,1,3*MATCH(cotPlan,lstPlanes,0)-1))))</f>
        <v>9.9999999999999992E-2</v>
      </c>
      <c r="H40" s="51">
        <f>IF(G40="","",ROUND(SUM(G$37:G40)*cotTotal,2)-ROUND(SUM(G$37:G39)*cotTotal,2))</f>
        <v>50296</v>
      </c>
      <c r="I40" s="52"/>
    </row>
    <row r="41" spans="2:11" x14ac:dyDescent="0.25">
      <c r="B41" s="29" t="str">
        <f>IF(C41="","",5)</f>
        <v/>
      </c>
      <c r="C41" s="53" t="str">
        <f>IF(cotModalidad="Crédito hipotecario","",IF(INDEX(tPlanes,5,3*MATCH(cotPlan,lstPlanes,0)-2)=0,"",INDEX(tPlanes,5,3*MATCH(cotPlan,lstPlanes,0)-2)))</f>
        <v/>
      </c>
      <c r="D41" s="52"/>
      <c r="E41" s="52"/>
      <c r="F41" s="52"/>
      <c r="G41" s="30" t="str">
        <f>IF(cotModalidad="Crédito hipotecario","",IF(N(INDEX(tPlanes,5,3*MATCH(cotPlan,lstPlanes,0)-1))=0,"",INDEX(tPlanes,5,3*MATCH(cotPlan,lstPlanes,0)-1)*(1-cotInicial)/(1-INDEX(tPlanes,1,3*MATCH(cotPlan,lstPlanes,0)-1))))</f>
        <v/>
      </c>
      <c r="H41" s="51" t="str">
        <f>IF(G41="","",ROUND(SUM(G$37:G41)*cotTotal,2)-ROUND(SUM(G$37:G40)*cotTotal,2))</f>
        <v/>
      </c>
      <c r="I41" s="52"/>
    </row>
    <row r="42" spans="2:11" x14ac:dyDescent="0.25">
      <c r="B42" s="29" t="str">
        <f>IF(C42="","",6)</f>
        <v/>
      </c>
      <c r="C42" s="53" t="str">
        <f>IF(cotModalidad="Crédito hipotecario","",IF(INDEX(tPlanes,6,3*MATCH(cotPlan,lstPlanes,0)-2)=0,"",INDEX(tPlanes,6,3*MATCH(cotPlan,lstPlanes,0)-2)))</f>
        <v/>
      </c>
      <c r="D42" s="52"/>
      <c r="E42" s="52"/>
      <c r="F42" s="52"/>
      <c r="G42" s="30" t="str">
        <f>IF(cotModalidad="Crédito hipotecario","",IF(N(INDEX(tPlanes,6,3*MATCH(cotPlan,lstPlanes,0)-1))=0,"",INDEX(tPlanes,6,3*MATCH(cotPlan,lstPlanes,0)-1)*(1-cotInicial)/(1-INDEX(tPlanes,1,3*MATCH(cotPlan,lstPlanes,0)-1))))</f>
        <v/>
      </c>
      <c r="H42" s="51" t="str">
        <f>IF(G42="","",ROUND(SUM(G$37:G42)*cotTotal,2)-ROUND(SUM(G$37:G41)*cotTotal,2))</f>
        <v/>
      </c>
      <c r="I42" s="52"/>
    </row>
    <row r="43" spans="2:11" x14ac:dyDescent="0.25">
      <c r="B43" s="29" t="str">
        <f>IF(C43="","",7)</f>
        <v/>
      </c>
      <c r="C43" s="53" t="str">
        <f>IF(cotModalidad="Crédito hipotecario","",IF(INDEX(tPlanes,7,3*MATCH(cotPlan,lstPlanes,0)-2)=0,"",INDEX(tPlanes,7,3*MATCH(cotPlan,lstPlanes,0)-2)))</f>
        <v/>
      </c>
      <c r="D43" s="52"/>
      <c r="E43" s="52"/>
      <c r="F43" s="52"/>
      <c r="G43" s="30" t="str">
        <f>IF(cotModalidad="Crédito hipotecario","",IF(N(INDEX(tPlanes,7,3*MATCH(cotPlan,lstPlanes,0)-1))=0,"",INDEX(tPlanes,7,3*MATCH(cotPlan,lstPlanes,0)-1)*(1-cotInicial)/(1-INDEX(tPlanes,1,3*MATCH(cotPlan,lstPlanes,0)-1))))</f>
        <v/>
      </c>
      <c r="H43" s="51" t="str">
        <f>IF(G43="","",ROUND(SUM(G$37:G43)*cotTotal,2)-ROUND(SUM(G$37:G42)*cotTotal,2))</f>
        <v/>
      </c>
      <c r="I43" s="52"/>
    </row>
    <row r="44" spans="2:11" x14ac:dyDescent="0.25">
      <c r="B44" s="29" t="str">
        <f>IF(C44="","",8)</f>
        <v/>
      </c>
      <c r="C44" s="53" t="str">
        <f>IF(cotModalidad="Crédito hipotecario","",IF(INDEX(tPlanes,8,3*MATCH(cotPlan,lstPlanes,0)-2)=0,"",INDEX(tPlanes,8,3*MATCH(cotPlan,lstPlanes,0)-2)))</f>
        <v/>
      </c>
      <c r="D44" s="52"/>
      <c r="E44" s="52"/>
      <c r="F44" s="52"/>
      <c r="G44" s="30" t="str">
        <f>IF(cotModalidad="Crédito hipotecario","",IF(N(INDEX(tPlanes,8,3*MATCH(cotPlan,lstPlanes,0)-1))=0,"",INDEX(tPlanes,8,3*MATCH(cotPlan,lstPlanes,0)-1)*(1-cotInicial)/(1-INDEX(tPlanes,1,3*MATCH(cotPlan,lstPlanes,0)-1))))</f>
        <v/>
      </c>
      <c r="H44" s="51" t="str">
        <f>IF(G44="","",ROUND(SUM(G$37:G44)*cotTotal,2)-ROUND(SUM(G$37:G43)*cotTotal,2))</f>
        <v/>
      </c>
      <c r="I44" s="52"/>
    </row>
    <row r="45" spans="2:11" ht="13" x14ac:dyDescent="0.25">
      <c r="C45" s="31" t="s">
        <v>60</v>
      </c>
      <c r="G45" s="32">
        <f>SUM(G37:G44)</f>
        <v>0.99999999999999989</v>
      </c>
      <c r="H45" s="66">
        <f>SUM(H37:I44)</f>
        <v>502960</v>
      </c>
      <c r="I45" s="49"/>
    </row>
    <row r="47" spans="2:11" ht="13" x14ac:dyDescent="0.25">
      <c r="B47" s="3" t="s">
        <v>61</v>
      </c>
      <c r="C47" s="34">
        <v>20</v>
      </c>
      <c r="D47" s="26" t="str">
        <f>"TEA referencial "&amp;TEXT(cfgTEA,"0.0%")</f>
        <v>TEA referencial 9.2%</v>
      </c>
      <c r="F47" s="61" t="s">
        <v>62</v>
      </c>
      <c r="G47" s="49"/>
      <c r="H47" s="49"/>
      <c r="I47" s="33" t="str">
        <f>IF(cotModalidad="Crédito hipotecario",-PMT((1+cfgTEA)^(1/12)-1,C47*12,(1-cotInicial)*cotTotal),"No aplica")</f>
        <v>No aplica</v>
      </c>
    </row>
    <row r="48" spans="2:11" x14ac:dyDescent="0.25">
      <c r="B48" s="35" t="s">
        <v>63</v>
      </c>
    </row>
    <row r="50" spans="2:9" ht="20" customHeight="1" x14ac:dyDescent="0.25">
      <c r="B50" s="64" t="s">
        <v>64</v>
      </c>
      <c r="C50" s="49"/>
      <c r="D50" s="49"/>
      <c r="E50" s="49"/>
      <c r="F50" s="49"/>
      <c r="G50" s="49"/>
      <c r="H50" s="49"/>
      <c r="I50" s="49"/>
    </row>
    <row r="51" spans="2:9" ht="13" x14ac:dyDescent="0.25">
      <c r="B51" s="71" t="str">
        <f>"Depósito o transferencia a "&amp;cfgTitular&amp;"  ·  RUC "&amp;cfgRUC&amp;"  ·  "&amp;cfgBanco</f>
        <v>Depósito o transferencia a Cruz Mirador Inmobiliaria S.A.C.  ·  RUC 20000000002  ·  BBVA</v>
      </c>
      <c r="C51" s="49"/>
      <c r="D51" s="49"/>
      <c r="E51" s="49"/>
      <c r="F51" s="49"/>
      <c r="G51" s="49"/>
      <c r="H51" s="49"/>
      <c r="I51" s="49"/>
    </row>
    <row r="52" spans="2:9" x14ac:dyDescent="0.25">
      <c r="B52" s="62" t="str">
        <f>"Soles: cta. cte. "&amp;cfgCtaPEN&amp;"  ·  CCI "&amp;cfgCciPEN</f>
        <v>Soles: cta. cte. 0011-0661-0100038472  ·  CCI 011-661-000100038472-58</v>
      </c>
      <c r="C52" s="49"/>
      <c r="D52" s="49"/>
      <c r="E52" s="49"/>
      <c r="F52" s="49"/>
      <c r="G52" s="49"/>
      <c r="H52" s="49"/>
      <c r="I52" s="49"/>
    </row>
    <row r="53" spans="2:9" x14ac:dyDescent="0.25">
      <c r="B53" s="62" t="str">
        <f>"Dólares: cta. cte. "&amp;cfgCtaUSD&amp;"  ·  CCI "&amp;cfgCciUSD</f>
        <v>Dólares: cta. cte. 0011-0661-0100038499  ·  CCI 011-661-000100038499-51</v>
      </c>
      <c r="C53" s="49"/>
      <c r="D53" s="49"/>
      <c r="E53" s="49"/>
      <c r="F53" s="49"/>
      <c r="G53" s="49"/>
      <c r="H53" s="49"/>
      <c r="I53" s="49"/>
    </row>
    <row r="54" spans="2:9" x14ac:dyDescent="0.25">
      <c r="B54" s="58" t="str">
        <f>"Sala de ventas: "&amp;cfgSala&amp;"  ·  "&amp;cfgHorario</f>
        <v>Sala de ventas: Av. Los Fresnos 1180, Jesús María (frente al Campo de Marte)  ·  Lun a vie 10:00–19:00 · Sáb 9:00–13:00</v>
      </c>
      <c r="C54" s="49"/>
      <c r="D54" s="49"/>
      <c r="E54" s="49"/>
      <c r="F54" s="49"/>
      <c r="G54" s="49"/>
      <c r="H54" s="49"/>
      <c r="I54" s="49"/>
    </row>
    <row r="56" spans="2:9" x14ac:dyDescent="0.25">
      <c r="B56" s="59" t="str">
        <f>"Proforma referencial, válida hasta el "&amp;TEXT(H8,"dd/mm/yyyy")&amp;". Precios en soles; el equivalente en dólares es referencial. La disponibilidad puede cambiar: la unidad se reserva recién con el abono de la separación. Entrega estimada: "&amp;cfgEntrega&amp;". Empresa y datos ficticios, solo para demostración."</f>
        <v>Proforma referencial, válida hasta el 25/10/2026. Precios en soles; el equivalente en dólares es referencial. La disponibilidad puede cambiar: la unidad se reserva recién con el abono de la separación. Entrega estimada: Marzo 2028. Empresa y datos ficticios, solo para demostración.</v>
      </c>
      <c r="C56" s="49"/>
      <c r="D56" s="49"/>
      <c r="E56" s="49"/>
      <c r="F56" s="49"/>
      <c r="G56" s="49"/>
      <c r="H56" s="49"/>
      <c r="I56" s="49"/>
    </row>
    <row r="57" spans="2:9" x14ac:dyDescent="0.25">
      <c r="B57" s="49"/>
      <c r="C57" s="49"/>
      <c r="D57" s="49"/>
      <c r="E57" s="49"/>
      <c r="F57" s="49"/>
      <c r="G57" s="49"/>
      <c r="H57" s="49"/>
      <c r="I57" s="49"/>
    </row>
    <row r="58" spans="2:9" x14ac:dyDescent="0.25">
      <c r="B58" s="49"/>
      <c r="C58" s="49"/>
      <c r="D58" s="49"/>
      <c r="E58" s="49"/>
      <c r="F58" s="49"/>
      <c r="G58" s="49"/>
      <c r="H58" s="49"/>
      <c r="I58" s="49"/>
    </row>
    <row r="61" spans="2:9" x14ac:dyDescent="0.25">
      <c r="B61" s="54" t="s">
        <v>65</v>
      </c>
      <c r="C61" s="55"/>
      <c r="D61" s="55"/>
      <c r="G61" s="54" t="s">
        <v>66</v>
      </c>
      <c r="H61" s="55"/>
      <c r="I61" s="55"/>
    </row>
  </sheetData>
  <sheetProtection sheet="1" formatCells="0" formatColumns="0"/>
  <mergeCells count="55">
    <mergeCell ref="G61:I61"/>
    <mergeCell ref="C26:H26"/>
    <mergeCell ref="F21:H21"/>
    <mergeCell ref="C29:H29"/>
    <mergeCell ref="B32:I32"/>
    <mergeCell ref="B50:I50"/>
    <mergeCell ref="K2:O2"/>
    <mergeCell ref="H37:I37"/>
    <mergeCell ref="C41:F41"/>
    <mergeCell ref="K23:O23"/>
    <mergeCell ref="C6:E6"/>
    <mergeCell ref="K21:O22"/>
    <mergeCell ref="C40:F40"/>
    <mergeCell ref="H8:I8"/>
    <mergeCell ref="F19:H19"/>
    <mergeCell ref="B24:I24"/>
    <mergeCell ref="F2:I2"/>
    <mergeCell ref="B53:I53"/>
    <mergeCell ref="C28:H28"/>
    <mergeCell ref="F3:I3"/>
    <mergeCell ref="H7:I7"/>
    <mergeCell ref="H45:I45"/>
    <mergeCell ref="C44:F44"/>
    <mergeCell ref="H42:I42"/>
    <mergeCell ref="C43:F43"/>
    <mergeCell ref="B51:I51"/>
    <mergeCell ref="G33:I33"/>
    <mergeCell ref="F47:H47"/>
    <mergeCell ref="H39:I39"/>
    <mergeCell ref="B52:I52"/>
    <mergeCell ref="H6:I6"/>
    <mergeCell ref="F22:H22"/>
    <mergeCell ref="B11:I11"/>
    <mergeCell ref="C27:H27"/>
    <mergeCell ref="C8:E8"/>
    <mergeCell ref="F30:H30"/>
    <mergeCell ref="C7:E7"/>
    <mergeCell ref="C42:F42"/>
    <mergeCell ref="C12:D12"/>
    <mergeCell ref="F20:H20"/>
    <mergeCell ref="K3:O3"/>
    <mergeCell ref="H38:I38"/>
    <mergeCell ref="C39:F39"/>
    <mergeCell ref="B61:D61"/>
    <mergeCell ref="C33:D33"/>
    <mergeCell ref="B54:I54"/>
    <mergeCell ref="H43:I43"/>
    <mergeCell ref="B56:I58"/>
    <mergeCell ref="C9:E9"/>
    <mergeCell ref="C38:F38"/>
    <mergeCell ref="H41:I41"/>
    <mergeCell ref="H44:I44"/>
    <mergeCell ref="C37:F37"/>
    <mergeCell ref="H40:I40"/>
    <mergeCell ref="H9:I9"/>
  </mergeCells>
  <conditionalFormatting sqref="B47:I47">
    <cfRule type="expression" dxfId="18" priority="10">
      <formula>NOT(cotModalidad="Crédito hipotecario")</formula>
    </cfRule>
  </conditionalFormatting>
  <conditionalFormatting sqref="C26:I29">
    <cfRule type="expression" dxfId="17" priority="4">
      <formula>$B26&lt;&gt;"Sí"</formula>
    </cfRule>
  </conditionalFormatting>
  <conditionalFormatting sqref="G33">
    <cfRule type="expression" dxfId="16" priority="8">
      <formula>cotModalidad="Crédito hipotecario"</formula>
    </cfRule>
  </conditionalFormatting>
  <conditionalFormatting sqref="G45:I45">
    <cfRule type="expression" dxfId="15" priority="9">
      <formula>OR(ROUND($G$45,6)&lt;&gt;1,ROUND($H$45-cotTotal,2)&lt;&gt;0)</formula>
    </cfRule>
  </conditionalFormatting>
  <conditionalFormatting sqref="H15:H17">
    <cfRule type="expression" dxfId="14" priority="1">
      <formula>AND(N(M15)&gt;0,H15&gt;M15)</formula>
    </cfRule>
  </conditionalFormatting>
  <conditionalFormatting sqref="K23">
    <cfRule type="expression" dxfId="13" priority="32">
      <formula>ISERROR(SEARCH("Lista",$K$23))</formula>
    </cfRule>
  </conditionalFormatting>
  <conditionalFormatting sqref="L15:L17">
    <cfRule type="expression" dxfId="12" priority="11">
      <formula>$L15="Disponible"</formula>
    </cfRule>
    <cfRule type="expression" dxfId="11" priority="12">
      <formula>$L15="Separado"</formula>
    </cfRule>
    <cfRule type="expression" dxfId="10" priority="13">
      <formula>$L15="Vendido"</formula>
    </cfRule>
    <cfRule type="expression" dxfId="9" priority="14">
      <formula>$L15="Bloqueado"</formula>
    </cfRule>
    <cfRule type="expression" dxfId="8" priority="15">
      <formula>$L15="No existe"</formula>
    </cfRule>
  </conditionalFormatting>
  <conditionalFormatting sqref="O15:O17">
    <cfRule type="expression" dxfId="7" priority="16">
      <formula>ISNUMBER(SEARCH("gerencia",$O15))</formula>
    </cfRule>
    <cfRule type="expression" dxfId="6" priority="17">
      <formula>$O15="Tope completo"</formula>
    </cfRule>
  </conditionalFormatting>
  <dataValidations count="13">
    <dataValidation type="list" allowBlank="1" showErrorMessage="1" errorTitle="Elige de la lista" error="Usa la flecha de la celda para elegir una opción." sqref="H9" xr:uid="{00000000-0002-0000-0000-000000000000}">
      <formula1>lstAsesores</formula1>
    </dataValidation>
    <dataValidation type="date" operator="greaterThan" showErrorMessage="1" errorTitle="Fecha no válida" error="Escribe una fecha, por ejemplo 18/10/2026." sqref="H7" xr:uid="{00000000-0002-0000-0000-000001000000}">
      <formula1>DATE(2020,1,1)</formula1>
    </dataValidation>
    <dataValidation type="list" allowBlank="1" showErrorMessage="1" errorTitle="Elige de la lista" error="Usa la flecha de la celda para elegir una opción." sqref="C12" xr:uid="{00000000-0002-0000-0000-000002000000}">
      <formula1>lstCampanias</formula1>
    </dataValidation>
    <dataValidation type="list" allowBlank="1" showErrorMessage="1" errorTitle="Unidad no disponible" error="Solo aparecen las unidades disponibles. Si falta alguna, revisa su estado en la hoja Inventario." sqref="C15" xr:uid="{00000000-0002-0000-0000-000003000000}">
      <formula1>lstDepartamentos</formula1>
    </dataValidation>
    <dataValidation type="decimal" errorStyle="warning" allowBlank="1" showErrorMessage="1" errorTitle="Supera el tope de descuento" error="Este descuento pasa el tope autorizado para la unidad. Continúa solo si gerencia lo aprobó." sqref="H15:H17" xr:uid="{00000000-0002-0000-0000-000004000000}">
      <formula1>0</formula1>
      <formula2>M15</formula2>
    </dataValidation>
    <dataValidation type="list" allowBlank="1" showErrorMessage="1" errorTitle="Unidad no disponible" error="Solo aparecen las unidades disponibles. Si falta alguna, revisa su estado en la hoja Inventario." sqref="C16" xr:uid="{00000000-0002-0000-0000-000005000000}">
      <formula1>lstEstacionamientos</formula1>
    </dataValidation>
    <dataValidation type="list" allowBlank="1" showErrorMessage="1" errorTitle="Unidad no disponible" error="Solo aparecen las unidades disponibles. Si falta alguna, revisa su estado en la hoja Inventario." sqref="C17" xr:uid="{00000000-0002-0000-0000-000007000000}">
      <formula1>lstDepositos</formula1>
    </dataValidation>
    <dataValidation type="list" allowBlank="1" showErrorMessage="1" errorTitle="Elige de la lista" error="Usa la flecha de la celda para elegir una opción." sqref="B26:B29" xr:uid="{00000000-0002-0000-0000-000009000000}">
      <formula1>lstSiNo</formula1>
    </dataValidation>
    <dataValidation type="list" allowBlank="1" showErrorMessage="1" errorTitle="Elige de la lista" error="Usa la flecha de la celda para elegir una opción." sqref="C33" xr:uid="{00000000-0002-0000-0000-00000D000000}">
      <formula1>lstModalidad</formula1>
    </dataValidation>
    <dataValidation type="list" allowBlank="1" showErrorMessage="1" errorTitle="Elige de la lista" error="Usa la flecha de la celda para elegir una opción." sqref="G33" xr:uid="{00000000-0002-0000-0000-00000E000000}">
      <formula1>lstPlanes</formula1>
    </dataValidation>
    <dataValidation type="decimal" showErrorMessage="1" errorTitle="Inicial no válida" error="La inicial va entre 10 % y 100 %." sqref="C34" xr:uid="{00000000-0002-0000-0000-00000F000000}">
      <formula1>0.1</formula1>
      <formula2>1</formula2>
    </dataValidation>
    <dataValidation type="list" allowBlank="1" showErrorMessage="1" errorTitle="Elige de la lista" error="Usa la flecha de la celda para elegir una opción." sqref="C47" xr:uid="{00000000-0002-0000-0000-000010000000}">
      <formula1>lstPlazos</formula1>
    </dataValidation>
    <dataValidation type="list" allowBlank="1" showErrorMessage="1" errorTitle="Elige de la lista" error="Usa la flecha de la celda para elegir una opción." sqref="M19" xr:uid="{00000000-0002-0000-0000-000011000000}">
      <formula1>lstCitas</formula1>
    </dataValidation>
  </dataValidations>
  <printOptions horizontalCentered="1"/>
  <pageMargins left="0.4" right="0.4" top="0.5" bottom="0.5" header="0.5" footer="0.5"/>
  <pageSetup paperSize="9" scale="73" orientation="portrait" r:id="rId1"/>
  <headerFooter>
    <oddFooter>&amp;C&amp;8Cotización generada con Excel · Cruz Mirador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3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8.7265625" defaultRowHeight="12.5" x14ac:dyDescent="0.25"/>
  <cols>
    <col min="1" max="1" width="10" customWidth="1"/>
    <col min="2" max="2" width="16" customWidth="1"/>
    <col min="3" max="3" width="13" customWidth="1"/>
    <col min="4" max="5" width="7" customWidth="1"/>
    <col min="6" max="6" width="10" customWidth="1"/>
    <col min="7" max="7" width="11" customWidth="1"/>
    <col min="8" max="8" width="18" customWidth="1"/>
    <col min="9" max="9" width="22" customWidth="1"/>
    <col min="10" max="10" width="16" customWidth="1"/>
    <col min="11" max="12" width="13" customWidth="1"/>
    <col min="13" max="13" width="44" customWidth="1"/>
  </cols>
  <sheetData>
    <row r="1" spans="1:13" ht="20" x14ac:dyDescent="0.4">
      <c r="A1" s="36" t="s">
        <v>67</v>
      </c>
    </row>
    <row r="2" spans="1:13" ht="13" x14ac:dyDescent="0.3">
      <c r="A2" s="37" t="s">
        <v>68</v>
      </c>
    </row>
    <row r="4" spans="1:13" ht="30" customHeight="1" x14ac:dyDescent="0.25">
      <c r="A4" s="38" t="s">
        <v>15</v>
      </c>
      <c r="B4" s="38" t="s">
        <v>14</v>
      </c>
      <c r="C4" s="38" t="s">
        <v>17</v>
      </c>
      <c r="D4" s="39" t="s">
        <v>69</v>
      </c>
      <c r="E4" s="39" t="s">
        <v>70</v>
      </c>
      <c r="F4" s="38" t="s">
        <v>71</v>
      </c>
      <c r="G4" s="39" t="s">
        <v>18</v>
      </c>
      <c r="H4" s="39" t="s">
        <v>72</v>
      </c>
      <c r="I4" s="39" t="s">
        <v>73</v>
      </c>
      <c r="J4" s="39" t="s">
        <v>74</v>
      </c>
      <c r="K4" s="38" t="s">
        <v>23</v>
      </c>
      <c r="L4" s="39" t="s">
        <v>75</v>
      </c>
      <c r="M4" s="38" t="s">
        <v>16</v>
      </c>
    </row>
    <row r="5" spans="1:13" ht="13" x14ac:dyDescent="0.25">
      <c r="A5" s="40" t="s">
        <v>76</v>
      </c>
      <c r="B5" s="10" t="s">
        <v>27</v>
      </c>
      <c r="C5" s="10" t="s">
        <v>77</v>
      </c>
      <c r="D5" s="41">
        <v>1</v>
      </c>
      <c r="E5" s="41">
        <v>1</v>
      </c>
      <c r="F5" s="10" t="s">
        <v>78</v>
      </c>
      <c r="G5" s="11">
        <v>70.2</v>
      </c>
      <c r="H5" s="42">
        <v>417690</v>
      </c>
      <c r="I5" s="42">
        <v>405160</v>
      </c>
      <c r="J5" s="42">
        <v>8000</v>
      </c>
      <c r="K5" s="5" t="s">
        <v>79</v>
      </c>
      <c r="L5" s="15">
        <f t="shared" ref="L5:L43" si="0">IFERROR(H5/G5,0)</f>
        <v>5950</v>
      </c>
      <c r="M5" s="10" t="str">
        <f t="shared" ref="M5:M27" si="1">D5&amp;" dorm."&amp;" · "&amp;E5&amp;IF(E5=1," baño"," baños")&amp;" · Vista "&amp;LOWER(F5)</f>
        <v>1 dorm. · 1 baño · Vista exterior</v>
      </c>
    </row>
    <row r="6" spans="1:13" ht="13" x14ac:dyDescent="0.25">
      <c r="A6" s="40" t="s">
        <v>80</v>
      </c>
      <c r="B6" s="10" t="s">
        <v>27</v>
      </c>
      <c r="C6" s="10" t="s">
        <v>77</v>
      </c>
      <c r="D6" s="41">
        <v>2</v>
      </c>
      <c r="E6" s="41">
        <v>2</v>
      </c>
      <c r="F6" s="10" t="s">
        <v>81</v>
      </c>
      <c r="G6" s="11">
        <v>85.6</v>
      </c>
      <c r="H6" s="42">
        <v>509320</v>
      </c>
      <c r="I6" s="42">
        <v>494040</v>
      </c>
      <c r="J6" s="42">
        <v>12000</v>
      </c>
      <c r="K6" s="5" t="s">
        <v>82</v>
      </c>
      <c r="L6" s="15">
        <f t="shared" si="0"/>
        <v>5950</v>
      </c>
      <c r="M6" s="10" t="str">
        <f t="shared" si="1"/>
        <v>2 dorm. · 2 baños · Vista interior</v>
      </c>
    </row>
    <row r="7" spans="1:13" ht="13" x14ac:dyDescent="0.25">
      <c r="A7" s="40" t="s">
        <v>83</v>
      </c>
      <c r="B7" s="10" t="s">
        <v>27</v>
      </c>
      <c r="C7" s="10" t="s">
        <v>84</v>
      </c>
      <c r="D7" s="41">
        <v>1</v>
      </c>
      <c r="E7" s="41">
        <v>1</v>
      </c>
      <c r="F7" s="10" t="s">
        <v>78</v>
      </c>
      <c r="G7" s="11">
        <v>41.1</v>
      </c>
      <c r="H7" s="42">
        <v>244550</v>
      </c>
      <c r="I7" s="42">
        <v>237210</v>
      </c>
      <c r="J7" s="42">
        <v>8000</v>
      </c>
      <c r="K7" s="5" t="s">
        <v>82</v>
      </c>
      <c r="L7" s="15">
        <f t="shared" si="0"/>
        <v>5950.1216545012167</v>
      </c>
      <c r="M7" s="10" t="str">
        <f t="shared" si="1"/>
        <v>1 dorm. · 1 baño · Vista exterior</v>
      </c>
    </row>
    <row r="8" spans="1:13" ht="13" x14ac:dyDescent="0.25">
      <c r="A8" s="40" t="s">
        <v>85</v>
      </c>
      <c r="B8" s="10" t="s">
        <v>27</v>
      </c>
      <c r="C8" s="10" t="s">
        <v>84</v>
      </c>
      <c r="D8" s="41">
        <v>2</v>
      </c>
      <c r="E8" s="41">
        <v>2</v>
      </c>
      <c r="F8" s="10" t="s">
        <v>81</v>
      </c>
      <c r="G8" s="11">
        <v>57.4</v>
      </c>
      <c r="H8" s="42">
        <v>341530</v>
      </c>
      <c r="I8" s="42">
        <v>331280</v>
      </c>
      <c r="J8" s="42">
        <v>12000</v>
      </c>
      <c r="K8" s="5" t="s">
        <v>82</v>
      </c>
      <c r="L8" s="15">
        <f t="shared" si="0"/>
        <v>5950</v>
      </c>
      <c r="M8" s="10" t="str">
        <f t="shared" si="1"/>
        <v>2 dorm. · 2 baños · Vista interior</v>
      </c>
    </row>
    <row r="9" spans="1:13" ht="13" x14ac:dyDescent="0.25">
      <c r="A9" s="40" t="s">
        <v>86</v>
      </c>
      <c r="B9" s="10" t="s">
        <v>27</v>
      </c>
      <c r="C9" s="10" t="s">
        <v>84</v>
      </c>
      <c r="D9" s="41">
        <v>3</v>
      </c>
      <c r="E9" s="41">
        <v>2</v>
      </c>
      <c r="F9" s="10" t="s">
        <v>78</v>
      </c>
      <c r="G9" s="11">
        <v>78.3</v>
      </c>
      <c r="H9" s="42">
        <v>465890</v>
      </c>
      <c r="I9" s="42">
        <v>451910</v>
      </c>
      <c r="J9" s="42">
        <v>15000</v>
      </c>
      <c r="K9" s="5" t="s">
        <v>82</v>
      </c>
      <c r="L9" s="15">
        <f t="shared" si="0"/>
        <v>5950.0638569604089</v>
      </c>
      <c r="M9" s="10" t="str">
        <f t="shared" si="1"/>
        <v>3 dorm. · 2 baños · Vista exterior</v>
      </c>
    </row>
    <row r="10" spans="1:13" ht="13" x14ac:dyDescent="0.25">
      <c r="A10" s="40" t="s">
        <v>87</v>
      </c>
      <c r="B10" s="10" t="s">
        <v>27</v>
      </c>
      <c r="C10" s="10" t="s">
        <v>88</v>
      </c>
      <c r="D10" s="41">
        <v>1</v>
      </c>
      <c r="E10" s="41">
        <v>1</v>
      </c>
      <c r="F10" s="10" t="s">
        <v>78</v>
      </c>
      <c r="G10" s="11">
        <v>41.1</v>
      </c>
      <c r="H10" s="42">
        <v>244550</v>
      </c>
      <c r="I10" s="42">
        <v>237210</v>
      </c>
      <c r="J10" s="42">
        <v>8000</v>
      </c>
      <c r="K10" s="5" t="s">
        <v>82</v>
      </c>
      <c r="L10" s="15">
        <f t="shared" si="0"/>
        <v>5950.1216545012167</v>
      </c>
      <c r="M10" s="10" t="str">
        <f t="shared" si="1"/>
        <v>1 dorm. · 1 baño · Vista exterior</v>
      </c>
    </row>
    <row r="11" spans="1:13" ht="13" x14ac:dyDescent="0.25">
      <c r="A11" s="40" t="s">
        <v>89</v>
      </c>
      <c r="B11" s="10" t="s">
        <v>27</v>
      </c>
      <c r="C11" s="10" t="s">
        <v>88</v>
      </c>
      <c r="D11" s="41">
        <v>2</v>
      </c>
      <c r="E11" s="41">
        <v>2</v>
      </c>
      <c r="F11" s="10" t="s">
        <v>81</v>
      </c>
      <c r="G11" s="11">
        <v>57.4</v>
      </c>
      <c r="H11" s="42">
        <v>341530</v>
      </c>
      <c r="I11" s="42">
        <v>331280</v>
      </c>
      <c r="J11" s="42">
        <v>12000</v>
      </c>
      <c r="K11" s="5" t="s">
        <v>82</v>
      </c>
      <c r="L11" s="15">
        <f t="shared" si="0"/>
        <v>5950</v>
      </c>
      <c r="M11" s="10" t="str">
        <f t="shared" si="1"/>
        <v>2 dorm. · 2 baños · Vista interior</v>
      </c>
    </row>
    <row r="12" spans="1:13" ht="13" x14ac:dyDescent="0.25">
      <c r="A12" s="40" t="s">
        <v>90</v>
      </c>
      <c r="B12" s="10" t="s">
        <v>27</v>
      </c>
      <c r="C12" s="10" t="s">
        <v>88</v>
      </c>
      <c r="D12" s="41">
        <v>3</v>
      </c>
      <c r="E12" s="41">
        <v>2</v>
      </c>
      <c r="F12" s="10" t="s">
        <v>78</v>
      </c>
      <c r="G12" s="11">
        <v>78.3</v>
      </c>
      <c r="H12" s="42">
        <v>465890</v>
      </c>
      <c r="I12" s="42">
        <v>451910</v>
      </c>
      <c r="J12" s="42">
        <v>15000</v>
      </c>
      <c r="K12" s="5" t="s">
        <v>82</v>
      </c>
      <c r="L12" s="15">
        <f t="shared" si="0"/>
        <v>5950.0638569604089</v>
      </c>
      <c r="M12" s="10" t="str">
        <f t="shared" si="1"/>
        <v>3 dorm. · 2 baños · Vista exterior</v>
      </c>
    </row>
    <row r="13" spans="1:13" ht="13" x14ac:dyDescent="0.25">
      <c r="A13" s="40" t="s">
        <v>91</v>
      </c>
      <c r="B13" s="10" t="s">
        <v>27</v>
      </c>
      <c r="C13" s="10" t="s">
        <v>92</v>
      </c>
      <c r="D13" s="41">
        <v>1</v>
      </c>
      <c r="E13" s="41">
        <v>1</v>
      </c>
      <c r="F13" s="10" t="s">
        <v>78</v>
      </c>
      <c r="G13" s="11">
        <v>41.1</v>
      </c>
      <c r="H13" s="42">
        <v>251740</v>
      </c>
      <c r="I13" s="42">
        <v>244190</v>
      </c>
      <c r="J13" s="42">
        <v>8000</v>
      </c>
      <c r="K13" s="5" t="s">
        <v>82</v>
      </c>
      <c r="L13" s="15">
        <f t="shared" si="0"/>
        <v>6125.0608272506079</v>
      </c>
      <c r="M13" s="10" t="str">
        <f t="shared" si="1"/>
        <v>1 dorm. · 1 baño · Vista exterior</v>
      </c>
    </row>
    <row r="14" spans="1:13" ht="13" x14ac:dyDescent="0.25">
      <c r="A14" s="40" t="s">
        <v>93</v>
      </c>
      <c r="B14" s="10" t="s">
        <v>27</v>
      </c>
      <c r="C14" s="10" t="s">
        <v>92</v>
      </c>
      <c r="D14" s="41">
        <v>2</v>
      </c>
      <c r="E14" s="41">
        <v>2</v>
      </c>
      <c r="F14" s="10" t="s">
        <v>81</v>
      </c>
      <c r="G14" s="11">
        <v>57.4</v>
      </c>
      <c r="H14" s="42">
        <v>351580</v>
      </c>
      <c r="I14" s="42">
        <v>341030</v>
      </c>
      <c r="J14" s="42">
        <v>12000</v>
      </c>
      <c r="K14" s="5" t="s">
        <v>94</v>
      </c>
      <c r="L14" s="15">
        <f t="shared" si="0"/>
        <v>6125.0871080139377</v>
      </c>
      <c r="M14" s="10" t="str">
        <f t="shared" si="1"/>
        <v>2 dorm. · 2 baños · Vista interior</v>
      </c>
    </row>
    <row r="15" spans="1:13" ht="13" x14ac:dyDescent="0.25">
      <c r="A15" s="40" t="s">
        <v>95</v>
      </c>
      <c r="B15" s="10" t="s">
        <v>27</v>
      </c>
      <c r="C15" s="10" t="s">
        <v>92</v>
      </c>
      <c r="D15" s="41">
        <v>3</v>
      </c>
      <c r="E15" s="41">
        <v>2</v>
      </c>
      <c r="F15" s="10" t="s">
        <v>78</v>
      </c>
      <c r="G15" s="11">
        <v>78.3</v>
      </c>
      <c r="H15" s="42">
        <v>479590</v>
      </c>
      <c r="I15" s="42">
        <v>465200</v>
      </c>
      <c r="J15" s="42">
        <v>15000</v>
      </c>
      <c r="K15" s="5" t="s">
        <v>82</v>
      </c>
      <c r="L15" s="15">
        <f t="shared" si="0"/>
        <v>6125.0319284802044</v>
      </c>
      <c r="M15" s="10" t="str">
        <f t="shared" si="1"/>
        <v>3 dorm. · 2 baños · Vista exterior</v>
      </c>
    </row>
    <row r="16" spans="1:13" ht="13" x14ac:dyDescent="0.25">
      <c r="A16" s="40" t="s">
        <v>96</v>
      </c>
      <c r="B16" s="10" t="s">
        <v>27</v>
      </c>
      <c r="C16" s="10" t="s">
        <v>97</v>
      </c>
      <c r="D16" s="41">
        <v>1</v>
      </c>
      <c r="E16" s="41">
        <v>1</v>
      </c>
      <c r="F16" s="10" t="s">
        <v>78</v>
      </c>
      <c r="G16" s="11">
        <v>41.1</v>
      </c>
      <c r="H16" s="42">
        <v>251740</v>
      </c>
      <c r="I16" s="42">
        <v>244190</v>
      </c>
      <c r="J16" s="42">
        <v>8000</v>
      </c>
      <c r="K16" s="5" t="s">
        <v>79</v>
      </c>
      <c r="L16" s="15">
        <f t="shared" si="0"/>
        <v>6125.0608272506079</v>
      </c>
      <c r="M16" s="10" t="str">
        <f t="shared" si="1"/>
        <v>1 dorm. · 1 baño · Vista exterior</v>
      </c>
    </row>
    <row r="17" spans="1:13" ht="13" x14ac:dyDescent="0.25">
      <c r="A17" s="40" t="s">
        <v>98</v>
      </c>
      <c r="B17" s="10" t="s">
        <v>27</v>
      </c>
      <c r="C17" s="10" t="s">
        <v>97</v>
      </c>
      <c r="D17" s="41">
        <v>2</v>
      </c>
      <c r="E17" s="41">
        <v>2</v>
      </c>
      <c r="F17" s="10" t="s">
        <v>81</v>
      </c>
      <c r="G17" s="11">
        <v>57.4</v>
      </c>
      <c r="H17" s="42">
        <v>351580</v>
      </c>
      <c r="I17" s="42">
        <v>341030</v>
      </c>
      <c r="J17" s="42">
        <v>12000</v>
      </c>
      <c r="K17" s="5" t="s">
        <v>82</v>
      </c>
      <c r="L17" s="15">
        <f t="shared" si="0"/>
        <v>6125.0871080139377</v>
      </c>
      <c r="M17" s="10" t="str">
        <f t="shared" si="1"/>
        <v>2 dorm. · 2 baños · Vista interior</v>
      </c>
    </row>
    <row r="18" spans="1:13" ht="13" x14ac:dyDescent="0.25">
      <c r="A18" s="40" t="s">
        <v>99</v>
      </c>
      <c r="B18" s="10" t="s">
        <v>27</v>
      </c>
      <c r="C18" s="10" t="s">
        <v>97</v>
      </c>
      <c r="D18" s="41">
        <v>3</v>
      </c>
      <c r="E18" s="41">
        <v>2</v>
      </c>
      <c r="F18" s="10" t="s">
        <v>78</v>
      </c>
      <c r="G18" s="11">
        <v>78.3</v>
      </c>
      <c r="H18" s="42">
        <v>479590</v>
      </c>
      <c r="I18" s="42">
        <v>465200</v>
      </c>
      <c r="J18" s="42">
        <v>15000</v>
      </c>
      <c r="K18" s="5" t="s">
        <v>79</v>
      </c>
      <c r="L18" s="15">
        <f t="shared" si="0"/>
        <v>6125.0319284802044</v>
      </c>
      <c r="M18" s="10" t="str">
        <f t="shared" si="1"/>
        <v>3 dorm. · 2 baños · Vista exterior</v>
      </c>
    </row>
    <row r="19" spans="1:13" ht="13" x14ac:dyDescent="0.25">
      <c r="A19" s="40" t="s">
        <v>100</v>
      </c>
      <c r="B19" s="10" t="s">
        <v>27</v>
      </c>
      <c r="C19" s="10" t="s">
        <v>101</v>
      </c>
      <c r="D19" s="41">
        <v>1</v>
      </c>
      <c r="E19" s="41">
        <v>1</v>
      </c>
      <c r="F19" s="10" t="s">
        <v>78</v>
      </c>
      <c r="G19" s="11">
        <v>41.1</v>
      </c>
      <c r="H19" s="42">
        <v>258930</v>
      </c>
      <c r="I19" s="42">
        <v>251160</v>
      </c>
      <c r="J19" s="42">
        <v>8000</v>
      </c>
      <c r="K19" s="5" t="s">
        <v>82</v>
      </c>
      <c r="L19" s="15">
        <f t="shared" si="0"/>
        <v>6300</v>
      </c>
      <c r="M19" s="10" t="str">
        <f t="shared" si="1"/>
        <v>1 dorm. · 1 baño · Vista exterior</v>
      </c>
    </row>
    <row r="20" spans="1:13" ht="13" x14ac:dyDescent="0.25">
      <c r="A20" s="40" t="s">
        <v>102</v>
      </c>
      <c r="B20" s="10" t="s">
        <v>27</v>
      </c>
      <c r="C20" s="10" t="s">
        <v>101</v>
      </c>
      <c r="D20" s="41">
        <v>2</v>
      </c>
      <c r="E20" s="41">
        <v>2</v>
      </c>
      <c r="F20" s="10" t="s">
        <v>81</v>
      </c>
      <c r="G20" s="11">
        <v>57.4</v>
      </c>
      <c r="H20" s="42">
        <v>361620</v>
      </c>
      <c r="I20" s="42">
        <v>350770</v>
      </c>
      <c r="J20" s="42">
        <v>12000</v>
      </c>
      <c r="K20" s="5" t="s">
        <v>82</v>
      </c>
      <c r="L20" s="15">
        <f t="shared" si="0"/>
        <v>6300</v>
      </c>
      <c r="M20" s="10" t="str">
        <f t="shared" si="1"/>
        <v>2 dorm. · 2 baños · Vista interior</v>
      </c>
    </row>
    <row r="21" spans="1:13" ht="13" x14ac:dyDescent="0.25">
      <c r="A21" s="40" t="s">
        <v>103</v>
      </c>
      <c r="B21" s="10" t="s">
        <v>27</v>
      </c>
      <c r="C21" s="10" t="s">
        <v>101</v>
      </c>
      <c r="D21" s="41">
        <v>3</v>
      </c>
      <c r="E21" s="41">
        <v>2</v>
      </c>
      <c r="F21" s="10" t="s">
        <v>78</v>
      </c>
      <c r="G21" s="11">
        <v>78.3</v>
      </c>
      <c r="H21" s="42">
        <v>493290</v>
      </c>
      <c r="I21" s="42">
        <v>478490</v>
      </c>
      <c r="J21" s="42">
        <v>15000</v>
      </c>
      <c r="K21" s="5" t="s">
        <v>82</v>
      </c>
      <c r="L21" s="15">
        <f t="shared" si="0"/>
        <v>6300</v>
      </c>
      <c r="M21" s="10" t="str">
        <f t="shared" si="1"/>
        <v>3 dorm. · 2 baños · Vista exterior</v>
      </c>
    </row>
    <row r="22" spans="1:13" ht="13" x14ac:dyDescent="0.25">
      <c r="A22" s="40" t="s">
        <v>104</v>
      </c>
      <c r="B22" s="10" t="s">
        <v>27</v>
      </c>
      <c r="C22" s="10" t="s">
        <v>105</v>
      </c>
      <c r="D22" s="41">
        <v>1</v>
      </c>
      <c r="E22" s="41">
        <v>1</v>
      </c>
      <c r="F22" s="10" t="s">
        <v>78</v>
      </c>
      <c r="G22" s="11">
        <v>41.1</v>
      </c>
      <c r="H22" s="42">
        <v>258930</v>
      </c>
      <c r="I22" s="42">
        <v>251160</v>
      </c>
      <c r="J22" s="42">
        <v>8000</v>
      </c>
      <c r="K22" s="5" t="s">
        <v>82</v>
      </c>
      <c r="L22" s="15">
        <f t="shared" si="0"/>
        <v>6300</v>
      </c>
      <c r="M22" s="10" t="str">
        <f t="shared" si="1"/>
        <v>1 dorm. · 1 baño · Vista exterior</v>
      </c>
    </row>
    <row r="23" spans="1:13" ht="13" x14ac:dyDescent="0.25">
      <c r="A23" s="40" t="s">
        <v>106</v>
      </c>
      <c r="B23" s="10" t="s">
        <v>27</v>
      </c>
      <c r="C23" s="10" t="s">
        <v>105</v>
      </c>
      <c r="D23" s="41">
        <v>2</v>
      </c>
      <c r="E23" s="41">
        <v>2</v>
      </c>
      <c r="F23" s="10" t="s">
        <v>81</v>
      </c>
      <c r="G23" s="11">
        <v>57.4</v>
      </c>
      <c r="H23" s="42">
        <v>361620</v>
      </c>
      <c r="I23" s="42">
        <v>350770</v>
      </c>
      <c r="J23" s="42">
        <v>12000</v>
      </c>
      <c r="K23" s="5" t="s">
        <v>82</v>
      </c>
      <c r="L23" s="15">
        <f t="shared" si="0"/>
        <v>6300</v>
      </c>
      <c r="M23" s="10" t="str">
        <f t="shared" si="1"/>
        <v>2 dorm. · 2 baños · Vista interior</v>
      </c>
    </row>
    <row r="24" spans="1:13" ht="13" x14ac:dyDescent="0.25">
      <c r="A24" s="40" t="s">
        <v>107</v>
      </c>
      <c r="B24" s="10" t="s">
        <v>27</v>
      </c>
      <c r="C24" s="10" t="s">
        <v>105</v>
      </c>
      <c r="D24" s="41">
        <v>3</v>
      </c>
      <c r="E24" s="41">
        <v>2</v>
      </c>
      <c r="F24" s="10" t="s">
        <v>78</v>
      </c>
      <c r="G24" s="11">
        <v>78.3</v>
      </c>
      <c r="H24" s="42">
        <v>493290</v>
      </c>
      <c r="I24" s="42">
        <v>478490</v>
      </c>
      <c r="J24" s="42">
        <v>15000</v>
      </c>
      <c r="K24" s="5" t="s">
        <v>82</v>
      </c>
      <c r="L24" s="15">
        <f t="shared" si="0"/>
        <v>6300</v>
      </c>
      <c r="M24" s="10" t="str">
        <f t="shared" si="1"/>
        <v>3 dorm. · 2 baños · Vista exterior</v>
      </c>
    </row>
    <row r="25" spans="1:13" ht="13" x14ac:dyDescent="0.25">
      <c r="A25" s="40" t="s">
        <v>108</v>
      </c>
      <c r="B25" s="10" t="s">
        <v>27</v>
      </c>
      <c r="C25" s="10" t="s">
        <v>109</v>
      </c>
      <c r="D25" s="41">
        <v>1</v>
      </c>
      <c r="E25" s="41">
        <v>1</v>
      </c>
      <c r="F25" s="10" t="s">
        <v>78</v>
      </c>
      <c r="G25" s="11">
        <v>41.1</v>
      </c>
      <c r="H25" s="42">
        <v>258930</v>
      </c>
      <c r="I25" s="42">
        <v>251160</v>
      </c>
      <c r="J25" s="42">
        <v>8000</v>
      </c>
      <c r="K25" s="5" t="s">
        <v>82</v>
      </c>
      <c r="L25" s="15">
        <f t="shared" si="0"/>
        <v>6300</v>
      </c>
      <c r="M25" s="10" t="str">
        <f t="shared" si="1"/>
        <v>1 dorm. · 1 baño · Vista exterior</v>
      </c>
    </row>
    <row r="26" spans="1:13" ht="13" x14ac:dyDescent="0.25">
      <c r="A26" s="40" t="s">
        <v>110</v>
      </c>
      <c r="B26" s="10" t="s">
        <v>27</v>
      </c>
      <c r="C26" s="10" t="s">
        <v>109</v>
      </c>
      <c r="D26" s="41">
        <v>2</v>
      </c>
      <c r="E26" s="41">
        <v>2</v>
      </c>
      <c r="F26" s="10" t="s">
        <v>81</v>
      </c>
      <c r="G26" s="11">
        <v>57.4</v>
      </c>
      <c r="H26" s="42">
        <v>361620</v>
      </c>
      <c r="I26" s="42">
        <v>350770</v>
      </c>
      <c r="J26" s="42">
        <v>12000</v>
      </c>
      <c r="K26" s="5" t="s">
        <v>82</v>
      </c>
      <c r="L26" s="15">
        <f t="shared" si="0"/>
        <v>6300</v>
      </c>
      <c r="M26" s="10" t="str">
        <f t="shared" si="1"/>
        <v>2 dorm. · 2 baños · Vista interior</v>
      </c>
    </row>
    <row r="27" spans="1:13" ht="13" x14ac:dyDescent="0.25">
      <c r="A27" s="40" t="s">
        <v>28</v>
      </c>
      <c r="B27" s="10" t="s">
        <v>27</v>
      </c>
      <c r="C27" s="10" t="s">
        <v>109</v>
      </c>
      <c r="D27" s="41">
        <v>3</v>
      </c>
      <c r="E27" s="41">
        <v>2</v>
      </c>
      <c r="F27" s="10" t="s">
        <v>78</v>
      </c>
      <c r="G27" s="11">
        <v>78.3</v>
      </c>
      <c r="H27" s="42">
        <v>493290</v>
      </c>
      <c r="I27" s="42">
        <v>478490</v>
      </c>
      <c r="J27" s="42">
        <v>15000</v>
      </c>
      <c r="K27" s="5" t="s">
        <v>82</v>
      </c>
      <c r="L27" s="15">
        <f t="shared" si="0"/>
        <v>6300</v>
      </c>
      <c r="M27" s="10" t="str">
        <f t="shared" si="1"/>
        <v>3 dorm. · 2 baños · Vista exterior</v>
      </c>
    </row>
    <row r="28" spans="1:13" ht="13" x14ac:dyDescent="0.25">
      <c r="A28" s="40" t="s">
        <v>111</v>
      </c>
      <c r="B28" s="10" t="s">
        <v>27</v>
      </c>
      <c r="C28" s="10" t="s">
        <v>112</v>
      </c>
      <c r="D28" s="41">
        <v>2</v>
      </c>
      <c r="E28" s="41">
        <v>2</v>
      </c>
      <c r="F28" s="10" t="s">
        <v>78</v>
      </c>
      <c r="G28" s="11">
        <v>80.599999999999994</v>
      </c>
      <c r="H28" s="42">
        <v>535990</v>
      </c>
      <c r="I28" s="42">
        <v>519910</v>
      </c>
      <c r="J28" s="42">
        <v>20000</v>
      </c>
      <c r="K28" s="5" t="s">
        <v>82</v>
      </c>
      <c r="L28" s="15">
        <f t="shared" si="0"/>
        <v>6650.0000000000009</v>
      </c>
      <c r="M28" s="10" t="str">
        <f>D28&amp;" dorm."&amp;" · "&amp;E28&amp;IF(E28=1," baño"," baños")&amp;" · Vista "&amp;LOWER(F28)&amp;" · Dúplex"</f>
        <v>2 dorm. · 2 baños · Vista exterior · Dúplex</v>
      </c>
    </row>
    <row r="29" spans="1:13" ht="13" x14ac:dyDescent="0.25">
      <c r="A29" s="40" t="s">
        <v>113</v>
      </c>
      <c r="B29" s="10" t="s">
        <v>27</v>
      </c>
      <c r="C29" s="10" t="s">
        <v>112</v>
      </c>
      <c r="D29" s="41">
        <v>3</v>
      </c>
      <c r="E29" s="41">
        <v>3</v>
      </c>
      <c r="F29" s="10" t="s">
        <v>78</v>
      </c>
      <c r="G29" s="11">
        <v>96.2</v>
      </c>
      <c r="H29" s="42">
        <v>639730</v>
      </c>
      <c r="I29" s="42">
        <v>620540</v>
      </c>
      <c r="J29" s="42">
        <v>20000</v>
      </c>
      <c r="K29" s="5" t="s">
        <v>82</v>
      </c>
      <c r="L29" s="15">
        <f t="shared" si="0"/>
        <v>6650</v>
      </c>
      <c r="M29" s="10" t="str">
        <f>D29&amp;" dorm."&amp;" · "&amp;E29&amp;IF(E29=1," baño"," baños")&amp;" · Vista "&amp;LOWER(F29)&amp;" · Dúplex"</f>
        <v>3 dorm. · 3 baños · Vista exterior · Dúplex</v>
      </c>
    </row>
    <row r="30" spans="1:13" ht="13" x14ac:dyDescent="0.25">
      <c r="A30" s="40" t="s">
        <v>114</v>
      </c>
      <c r="B30" s="10" t="s">
        <v>29</v>
      </c>
      <c r="C30" s="10" t="s">
        <v>115</v>
      </c>
      <c r="D30" s="41"/>
      <c r="E30" s="41"/>
      <c r="F30" s="10"/>
      <c r="G30" s="11">
        <v>13.1</v>
      </c>
      <c r="H30" s="42">
        <v>45850</v>
      </c>
      <c r="I30" s="42">
        <v>44470</v>
      </c>
      <c r="J30" s="42">
        <v>3000</v>
      </c>
      <c r="K30" s="5" t="s">
        <v>79</v>
      </c>
      <c r="L30" s="15">
        <f t="shared" si="0"/>
        <v>3500</v>
      </c>
      <c r="M30" s="10" t="str">
        <f t="shared" ref="M30:M43" si="2">B30</f>
        <v>Estacionamiento</v>
      </c>
    </row>
    <row r="31" spans="1:13" ht="13" x14ac:dyDescent="0.25">
      <c r="A31" s="40" t="s">
        <v>116</v>
      </c>
      <c r="B31" s="10" t="s">
        <v>29</v>
      </c>
      <c r="C31" s="10" t="s">
        <v>117</v>
      </c>
      <c r="D31" s="41"/>
      <c r="E31" s="41"/>
      <c r="F31" s="10"/>
      <c r="G31" s="11">
        <v>16.7</v>
      </c>
      <c r="H31" s="42">
        <v>58450</v>
      </c>
      <c r="I31" s="42">
        <v>56700</v>
      </c>
      <c r="J31" s="42">
        <v>3000</v>
      </c>
      <c r="K31" s="5" t="s">
        <v>82</v>
      </c>
      <c r="L31" s="15">
        <f t="shared" si="0"/>
        <v>3500</v>
      </c>
      <c r="M31" s="10" t="str">
        <f t="shared" si="2"/>
        <v>Estacionamiento</v>
      </c>
    </row>
    <row r="32" spans="1:13" ht="13" x14ac:dyDescent="0.25">
      <c r="A32" s="40" t="s">
        <v>118</v>
      </c>
      <c r="B32" s="10" t="s">
        <v>29</v>
      </c>
      <c r="C32" s="10" t="s">
        <v>115</v>
      </c>
      <c r="D32" s="41"/>
      <c r="E32" s="41"/>
      <c r="F32" s="10"/>
      <c r="G32" s="11">
        <v>13.66</v>
      </c>
      <c r="H32" s="42">
        <v>47810</v>
      </c>
      <c r="I32" s="42">
        <v>46380</v>
      </c>
      <c r="J32" s="42">
        <v>3000</v>
      </c>
      <c r="K32" s="5" t="s">
        <v>82</v>
      </c>
      <c r="L32" s="15">
        <f t="shared" si="0"/>
        <v>3500</v>
      </c>
      <c r="M32" s="10" t="str">
        <f t="shared" si="2"/>
        <v>Estacionamiento</v>
      </c>
    </row>
    <row r="33" spans="1:13" ht="13" x14ac:dyDescent="0.25">
      <c r="A33" s="40" t="s">
        <v>119</v>
      </c>
      <c r="B33" s="10" t="s">
        <v>29</v>
      </c>
      <c r="C33" s="10" t="s">
        <v>117</v>
      </c>
      <c r="D33" s="41"/>
      <c r="E33" s="41"/>
      <c r="F33" s="10"/>
      <c r="G33" s="11">
        <v>14.11</v>
      </c>
      <c r="H33" s="42">
        <v>49390</v>
      </c>
      <c r="I33" s="42">
        <v>47900</v>
      </c>
      <c r="J33" s="42">
        <v>3000</v>
      </c>
      <c r="K33" s="5" t="s">
        <v>82</v>
      </c>
      <c r="L33" s="15">
        <f t="shared" si="0"/>
        <v>3500.3543586109145</v>
      </c>
      <c r="M33" s="10" t="str">
        <f t="shared" si="2"/>
        <v>Estacionamiento</v>
      </c>
    </row>
    <row r="34" spans="1:13" ht="13" x14ac:dyDescent="0.25">
      <c r="A34" s="40" t="s">
        <v>120</v>
      </c>
      <c r="B34" s="10" t="s">
        <v>29</v>
      </c>
      <c r="C34" s="10" t="s">
        <v>115</v>
      </c>
      <c r="D34" s="41"/>
      <c r="E34" s="41"/>
      <c r="F34" s="10"/>
      <c r="G34" s="11">
        <v>12.44</v>
      </c>
      <c r="H34" s="42">
        <v>43540</v>
      </c>
      <c r="I34" s="42">
        <v>42230</v>
      </c>
      <c r="J34" s="42">
        <v>3000</v>
      </c>
      <c r="K34" s="5" t="s">
        <v>82</v>
      </c>
      <c r="L34" s="15">
        <f t="shared" si="0"/>
        <v>3500</v>
      </c>
      <c r="M34" s="10" t="str">
        <f t="shared" si="2"/>
        <v>Estacionamiento</v>
      </c>
    </row>
    <row r="35" spans="1:13" ht="13" x14ac:dyDescent="0.25">
      <c r="A35" s="40" t="s">
        <v>121</v>
      </c>
      <c r="B35" s="10" t="s">
        <v>29</v>
      </c>
      <c r="C35" s="10" t="s">
        <v>117</v>
      </c>
      <c r="D35" s="41"/>
      <c r="E35" s="41"/>
      <c r="F35" s="10"/>
      <c r="G35" s="11">
        <v>15.72</v>
      </c>
      <c r="H35" s="42">
        <v>55020</v>
      </c>
      <c r="I35" s="42">
        <v>53370</v>
      </c>
      <c r="J35" s="42">
        <v>3000</v>
      </c>
      <c r="K35" s="5" t="s">
        <v>79</v>
      </c>
      <c r="L35" s="15">
        <f t="shared" si="0"/>
        <v>3500</v>
      </c>
      <c r="M35" s="10" t="str">
        <f t="shared" si="2"/>
        <v>Estacionamiento</v>
      </c>
    </row>
    <row r="36" spans="1:13" ht="13" x14ac:dyDescent="0.25">
      <c r="A36" s="40" t="s">
        <v>122</v>
      </c>
      <c r="B36" s="10" t="s">
        <v>29</v>
      </c>
      <c r="C36" s="10" t="s">
        <v>115</v>
      </c>
      <c r="D36" s="41"/>
      <c r="E36" s="41"/>
      <c r="F36" s="10"/>
      <c r="G36" s="11">
        <v>12.83</v>
      </c>
      <c r="H36" s="42">
        <v>44910</v>
      </c>
      <c r="I36" s="42">
        <v>43560</v>
      </c>
      <c r="J36" s="42">
        <v>3000</v>
      </c>
      <c r="K36" s="5" t="s">
        <v>123</v>
      </c>
      <c r="L36" s="15">
        <f t="shared" si="0"/>
        <v>3500.3897116134062</v>
      </c>
      <c r="M36" s="10" t="str">
        <f t="shared" si="2"/>
        <v>Estacionamiento</v>
      </c>
    </row>
    <row r="37" spans="1:13" ht="13" x14ac:dyDescent="0.25">
      <c r="A37" s="40" t="s">
        <v>124</v>
      </c>
      <c r="B37" s="10" t="s">
        <v>29</v>
      </c>
      <c r="C37" s="10" t="s">
        <v>117</v>
      </c>
      <c r="D37" s="41"/>
      <c r="E37" s="41"/>
      <c r="F37" s="10"/>
      <c r="G37" s="11">
        <v>13.42</v>
      </c>
      <c r="H37" s="42">
        <v>46970</v>
      </c>
      <c r="I37" s="42">
        <v>45560</v>
      </c>
      <c r="J37" s="42">
        <v>3000</v>
      </c>
      <c r="K37" s="5" t="s">
        <v>82</v>
      </c>
      <c r="L37" s="15">
        <f t="shared" si="0"/>
        <v>3500</v>
      </c>
      <c r="M37" s="10" t="str">
        <f t="shared" si="2"/>
        <v>Estacionamiento</v>
      </c>
    </row>
    <row r="38" spans="1:13" ht="13" x14ac:dyDescent="0.25">
      <c r="A38" s="40" t="s">
        <v>125</v>
      </c>
      <c r="B38" s="10" t="s">
        <v>29</v>
      </c>
      <c r="C38" s="10" t="s">
        <v>115</v>
      </c>
      <c r="D38" s="41"/>
      <c r="E38" s="41"/>
      <c r="F38" s="10"/>
      <c r="G38" s="11">
        <v>16.77</v>
      </c>
      <c r="H38" s="42">
        <v>58700</v>
      </c>
      <c r="I38" s="42">
        <v>56930</v>
      </c>
      <c r="J38" s="42">
        <v>3000</v>
      </c>
      <c r="K38" s="5" t="s">
        <v>82</v>
      </c>
      <c r="L38" s="15">
        <f t="shared" si="0"/>
        <v>3500.2981514609423</v>
      </c>
      <c r="M38" s="10" t="str">
        <f t="shared" si="2"/>
        <v>Estacionamiento</v>
      </c>
    </row>
    <row r="39" spans="1:13" ht="13" x14ac:dyDescent="0.25">
      <c r="A39" s="40" t="s">
        <v>126</v>
      </c>
      <c r="B39" s="10" t="s">
        <v>29</v>
      </c>
      <c r="C39" s="10" t="s">
        <v>117</v>
      </c>
      <c r="D39" s="41"/>
      <c r="E39" s="41"/>
      <c r="F39" s="10"/>
      <c r="G39" s="11">
        <v>16.82</v>
      </c>
      <c r="H39" s="42">
        <v>58870</v>
      </c>
      <c r="I39" s="42">
        <v>57100</v>
      </c>
      <c r="J39" s="42">
        <v>3000</v>
      </c>
      <c r="K39" s="5" t="s">
        <v>82</v>
      </c>
      <c r="L39" s="15">
        <f t="shared" si="0"/>
        <v>3500</v>
      </c>
      <c r="M39" s="10" t="str">
        <f t="shared" si="2"/>
        <v>Estacionamiento</v>
      </c>
    </row>
    <row r="40" spans="1:13" ht="13" x14ac:dyDescent="0.25">
      <c r="A40" s="40" t="s">
        <v>127</v>
      </c>
      <c r="B40" s="10" t="s">
        <v>31</v>
      </c>
      <c r="C40" s="10" t="s">
        <v>117</v>
      </c>
      <c r="D40" s="41"/>
      <c r="E40" s="41"/>
      <c r="F40" s="10"/>
      <c r="G40" s="11">
        <v>5.05</v>
      </c>
      <c r="H40" s="42">
        <v>13130</v>
      </c>
      <c r="I40" s="42">
        <v>12740</v>
      </c>
      <c r="J40" s="42">
        <v>1500</v>
      </c>
      <c r="K40" s="5" t="s">
        <v>82</v>
      </c>
      <c r="L40" s="15">
        <f t="shared" si="0"/>
        <v>2600</v>
      </c>
      <c r="M40" s="10" t="str">
        <f t="shared" si="2"/>
        <v>Depósito</v>
      </c>
    </row>
    <row r="41" spans="1:13" ht="13" x14ac:dyDescent="0.25">
      <c r="A41" s="40" t="s">
        <v>32</v>
      </c>
      <c r="B41" s="10" t="s">
        <v>31</v>
      </c>
      <c r="C41" s="10" t="s">
        <v>117</v>
      </c>
      <c r="D41" s="41"/>
      <c r="E41" s="41"/>
      <c r="F41" s="10"/>
      <c r="G41" s="11">
        <v>3.72</v>
      </c>
      <c r="H41" s="42">
        <v>9670</v>
      </c>
      <c r="I41" s="42">
        <v>9380</v>
      </c>
      <c r="J41" s="42">
        <v>1500</v>
      </c>
      <c r="K41" s="5" t="s">
        <v>82</v>
      </c>
      <c r="L41" s="15">
        <f t="shared" si="0"/>
        <v>2599.4623655913979</v>
      </c>
      <c r="M41" s="10" t="str">
        <f t="shared" si="2"/>
        <v>Depósito</v>
      </c>
    </row>
    <row r="42" spans="1:13" ht="13" x14ac:dyDescent="0.25">
      <c r="A42" s="40" t="s">
        <v>128</v>
      </c>
      <c r="B42" s="10" t="s">
        <v>31</v>
      </c>
      <c r="C42" s="10" t="s">
        <v>117</v>
      </c>
      <c r="D42" s="41"/>
      <c r="E42" s="41"/>
      <c r="F42" s="10"/>
      <c r="G42" s="11">
        <v>4.78</v>
      </c>
      <c r="H42" s="42">
        <v>12430</v>
      </c>
      <c r="I42" s="42">
        <v>12060</v>
      </c>
      <c r="J42" s="42">
        <v>1500</v>
      </c>
      <c r="K42" s="5" t="s">
        <v>82</v>
      </c>
      <c r="L42" s="15">
        <f t="shared" si="0"/>
        <v>2600.4184100418411</v>
      </c>
      <c r="M42" s="10" t="str">
        <f t="shared" si="2"/>
        <v>Depósito</v>
      </c>
    </row>
    <row r="43" spans="1:13" ht="13" x14ac:dyDescent="0.25">
      <c r="A43" s="40" t="s">
        <v>129</v>
      </c>
      <c r="B43" s="10" t="s">
        <v>31</v>
      </c>
      <c r="C43" s="10" t="s">
        <v>117</v>
      </c>
      <c r="D43" s="41"/>
      <c r="E43" s="41"/>
      <c r="F43" s="10"/>
      <c r="G43" s="11">
        <v>4.03</v>
      </c>
      <c r="H43" s="42">
        <v>10480</v>
      </c>
      <c r="I43" s="42">
        <v>10160</v>
      </c>
      <c r="J43" s="42">
        <v>1500</v>
      </c>
      <c r="K43" s="5" t="s">
        <v>82</v>
      </c>
      <c r="L43" s="15">
        <f t="shared" si="0"/>
        <v>2600.4962779156326</v>
      </c>
      <c r="M43" s="10" t="str">
        <f t="shared" si="2"/>
        <v>Depósito</v>
      </c>
    </row>
  </sheetData>
  <conditionalFormatting sqref="A5:J43">
    <cfRule type="expression" dxfId="5" priority="5">
      <formula>$K5&lt;&gt;"Disponible"</formula>
    </cfRule>
  </conditionalFormatting>
  <conditionalFormatting sqref="K5:K43">
    <cfRule type="expression" dxfId="4" priority="1">
      <formula>$K5="Disponible"</formula>
    </cfRule>
    <cfRule type="expression" dxfId="3" priority="2">
      <formula>$K5="Separado"</formula>
    </cfRule>
    <cfRule type="expression" dxfId="2" priority="3">
      <formula>$K5="Vendido"</formula>
    </cfRule>
    <cfRule type="expression" dxfId="1" priority="4">
      <formula>$K5="Bloqueado"</formula>
    </cfRule>
  </conditionalFormatting>
  <dataValidations count="2">
    <dataValidation type="list" allowBlank="1" showErrorMessage="1" errorTitle="Elige de la lista" error="Usa la flecha de la celda para elegir una opción." sqref="K5:K43" xr:uid="{00000000-0002-0000-0100-000000000000}">
      <formula1>lstEstados</formula1>
    </dataValidation>
    <dataValidation type="decimal" operator="greaterThan" showErrorMessage="1" errorTitle="Precio no válido" error="El precio debe ser mayor que cero." sqref="H5:I43" xr:uid="{00000000-0002-0000-0100-000001000000}">
      <formula1>0</formula1>
    </dataValidation>
  </dataValidation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85"/>
  <sheetViews>
    <sheetView showGridLines="0" workbookViewId="0"/>
  </sheetViews>
  <sheetFormatPr baseColWidth="10" defaultColWidth="8.7265625" defaultRowHeight="12.5" x14ac:dyDescent="0.25"/>
  <cols>
    <col min="1" max="1" width="2" customWidth="1"/>
    <col min="2" max="2" width="34" customWidth="1"/>
    <col min="3" max="3" width="18" customWidth="1"/>
    <col min="4" max="4" width="4" customWidth="1"/>
    <col min="5" max="5" width="30" customWidth="1"/>
    <col min="6" max="6" width="12" customWidth="1"/>
    <col min="7" max="7" width="30" customWidth="1"/>
    <col min="8" max="8" width="12" customWidth="1"/>
  </cols>
  <sheetData>
    <row r="2" spans="2:3" ht="20" x14ac:dyDescent="0.4">
      <c r="B2" s="36" t="s">
        <v>130</v>
      </c>
    </row>
    <row r="3" spans="2:3" ht="13" x14ac:dyDescent="0.3">
      <c r="B3" s="37" t="s">
        <v>131</v>
      </c>
    </row>
    <row r="5" spans="2:3" ht="13" x14ac:dyDescent="0.25">
      <c r="B5" s="64" t="s">
        <v>132</v>
      </c>
      <c r="C5" s="49"/>
    </row>
    <row r="6" spans="2:3" ht="13" x14ac:dyDescent="0.25">
      <c r="B6" s="10" t="s">
        <v>132</v>
      </c>
      <c r="C6" s="5" t="s">
        <v>133</v>
      </c>
    </row>
    <row r="7" spans="2:3" ht="13" x14ac:dyDescent="0.25">
      <c r="B7" s="10" t="s">
        <v>134</v>
      </c>
      <c r="C7" s="5" t="s">
        <v>135</v>
      </c>
    </row>
    <row r="8" spans="2:3" ht="13" x14ac:dyDescent="0.25">
      <c r="B8" s="10" t="s">
        <v>136</v>
      </c>
      <c r="C8" s="5" t="s">
        <v>137</v>
      </c>
    </row>
    <row r="9" spans="2:3" ht="13" x14ac:dyDescent="0.25">
      <c r="B9" s="10" t="s">
        <v>138</v>
      </c>
      <c r="C9" s="5" t="s">
        <v>139</v>
      </c>
    </row>
    <row r="10" spans="2:3" ht="13" x14ac:dyDescent="0.25">
      <c r="B10" s="10" t="s">
        <v>140</v>
      </c>
      <c r="C10" s="5" t="s">
        <v>141</v>
      </c>
    </row>
    <row r="11" spans="2:3" ht="13" x14ac:dyDescent="0.25">
      <c r="B11" s="10" t="s">
        <v>142</v>
      </c>
      <c r="C11" s="5" t="s">
        <v>143</v>
      </c>
    </row>
    <row r="13" spans="2:3" ht="13" x14ac:dyDescent="0.25">
      <c r="B13" s="64" t="s">
        <v>144</v>
      </c>
      <c r="C13" s="49"/>
    </row>
    <row r="14" spans="2:3" ht="13" x14ac:dyDescent="0.25">
      <c r="B14" s="10" t="s">
        <v>145</v>
      </c>
      <c r="C14" s="43">
        <v>7</v>
      </c>
    </row>
    <row r="15" spans="2:3" ht="13" x14ac:dyDescent="0.25">
      <c r="B15" s="10" t="s">
        <v>146</v>
      </c>
      <c r="C15" s="44">
        <v>3.5</v>
      </c>
    </row>
    <row r="16" spans="2:3" ht="13" x14ac:dyDescent="0.25">
      <c r="B16" s="10" t="s">
        <v>147</v>
      </c>
      <c r="C16" s="45">
        <v>1</v>
      </c>
    </row>
    <row r="18" spans="2:8" ht="13" x14ac:dyDescent="0.25">
      <c r="B18" s="64" t="s">
        <v>148</v>
      </c>
      <c r="C18" s="49"/>
    </row>
    <row r="19" spans="2:8" ht="13" x14ac:dyDescent="0.25">
      <c r="B19" s="10" t="s">
        <v>149</v>
      </c>
      <c r="C19" s="46">
        <v>9.1999999999999998E-2</v>
      </c>
    </row>
    <row r="20" spans="2:8" ht="13" x14ac:dyDescent="0.25">
      <c r="B20" s="10" t="s">
        <v>150</v>
      </c>
      <c r="C20" s="27">
        <v>0.3</v>
      </c>
    </row>
    <row r="22" spans="2:8" ht="13" x14ac:dyDescent="0.25">
      <c r="B22" s="64" t="s">
        <v>34</v>
      </c>
      <c r="C22" s="49"/>
    </row>
    <row r="23" spans="2:8" ht="13" x14ac:dyDescent="0.25">
      <c r="B23" s="10" t="s">
        <v>151</v>
      </c>
      <c r="C23" s="42">
        <v>3000</v>
      </c>
    </row>
    <row r="24" spans="2:8" ht="13" x14ac:dyDescent="0.25">
      <c r="B24" s="10" t="s">
        <v>152</v>
      </c>
      <c r="C24" s="42">
        <v>1500</v>
      </c>
    </row>
    <row r="25" spans="2:8" ht="13" x14ac:dyDescent="0.25">
      <c r="B25" s="10" t="s">
        <v>153</v>
      </c>
      <c r="C25" s="27">
        <v>0.35</v>
      </c>
    </row>
    <row r="26" spans="2:8" ht="13" x14ac:dyDescent="0.25">
      <c r="B26" s="10" t="s">
        <v>154</v>
      </c>
      <c r="C26" s="27">
        <v>0.7</v>
      </c>
    </row>
    <row r="27" spans="2:8" ht="13" x14ac:dyDescent="0.25">
      <c r="B27" s="10" t="s">
        <v>155</v>
      </c>
      <c r="C27" s="42">
        <v>1000</v>
      </c>
    </row>
    <row r="29" spans="2:8" ht="13" x14ac:dyDescent="0.25">
      <c r="B29" s="64" t="s">
        <v>156</v>
      </c>
      <c r="C29" s="49"/>
    </row>
    <row r="30" spans="2:8" x14ac:dyDescent="0.25">
      <c r="B30" s="3" t="s">
        <v>157</v>
      </c>
      <c r="C30" s="22" t="s">
        <v>158</v>
      </c>
      <c r="E30" s="3" t="s">
        <v>159</v>
      </c>
    </row>
    <row r="31" spans="2:8" ht="13" x14ac:dyDescent="0.25">
      <c r="B31" s="10">
        <v>1</v>
      </c>
      <c r="C31" s="27">
        <v>0.2</v>
      </c>
      <c r="E31" s="56" t="s">
        <v>160</v>
      </c>
      <c r="F31" s="49"/>
      <c r="G31" s="49"/>
      <c r="H31" s="49"/>
    </row>
    <row r="32" spans="2:8" ht="13" x14ac:dyDescent="0.25">
      <c r="B32" s="10">
        <v>2</v>
      </c>
      <c r="C32" s="27">
        <v>0.5</v>
      </c>
      <c r="E32" s="56" t="s">
        <v>161</v>
      </c>
      <c r="F32" s="49"/>
      <c r="G32" s="49"/>
      <c r="H32" s="49"/>
    </row>
    <row r="33" spans="2:8" ht="13" x14ac:dyDescent="0.25">
      <c r="B33" s="10">
        <v>3</v>
      </c>
      <c r="C33" s="27">
        <v>1</v>
      </c>
      <c r="E33" s="56" t="s">
        <v>162</v>
      </c>
      <c r="F33" s="49"/>
      <c r="G33" s="49"/>
      <c r="H33" s="49"/>
    </row>
    <row r="35" spans="2:8" ht="13" x14ac:dyDescent="0.25">
      <c r="B35" s="64" t="s">
        <v>163</v>
      </c>
      <c r="C35" s="49"/>
      <c r="D35" s="49"/>
      <c r="E35" s="49"/>
      <c r="F35" s="49"/>
      <c r="G35" s="49"/>
      <c r="H35" s="49"/>
    </row>
    <row r="36" spans="2:8" ht="13" x14ac:dyDescent="0.25">
      <c r="B36" s="5" t="s">
        <v>52</v>
      </c>
      <c r="C36" s="22" t="s">
        <v>58</v>
      </c>
      <c r="E36" s="5" t="s">
        <v>164</v>
      </c>
      <c r="F36" s="22" t="s">
        <v>58</v>
      </c>
    </row>
    <row r="37" spans="2:8" ht="13" x14ac:dyDescent="0.25">
      <c r="B37" s="5" t="s">
        <v>54</v>
      </c>
      <c r="C37" s="27">
        <v>0.3</v>
      </c>
      <c r="E37" s="5" t="s">
        <v>54</v>
      </c>
      <c r="F37" s="27">
        <v>0.3</v>
      </c>
    </row>
    <row r="38" spans="2:8" ht="13" x14ac:dyDescent="0.25">
      <c r="B38" s="5" t="s">
        <v>165</v>
      </c>
      <c r="C38" s="27">
        <v>0.4</v>
      </c>
      <c r="E38" s="5" t="s">
        <v>166</v>
      </c>
      <c r="F38" s="27">
        <v>0.1</v>
      </c>
    </row>
    <row r="39" spans="2:8" ht="13" x14ac:dyDescent="0.25">
      <c r="B39" s="5" t="s">
        <v>167</v>
      </c>
      <c r="C39" s="27">
        <v>0.2</v>
      </c>
      <c r="E39" s="5" t="s">
        <v>168</v>
      </c>
      <c r="F39" s="27">
        <v>0.1</v>
      </c>
    </row>
    <row r="40" spans="2:8" ht="13" x14ac:dyDescent="0.25">
      <c r="B40" s="5" t="s">
        <v>169</v>
      </c>
      <c r="C40" s="27">
        <v>0.1</v>
      </c>
      <c r="E40" s="5" t="s">
        <v>170</v>
      </c>
      <c r="F40" s="27">
        <v>0.1</v>
      </c>
    </row>
    <row r="41" spans="2:8" ht="13" x14ac:dyDescent="0.25">
      <c r="B41" s="5"/>
      <c r="C41" s="27"/>
      <c r="E41" s="5" t="s">
        <v>171</v>
      </c>
      <c r="F41" s="27">
        <v>0.1</v>
      </c>
    </row>
    <row r="42" spans="2:8" ht="13" x14ac:dyDescent="0.25">
      <c r="B42" s="5"/>
      <c r="C42" s="27"/>
      <c r="E42" s="5" t="s">
        <v>172</v>
      </c>
      <c r="F42" s="27">
        <v>0.1</v>
      </c>
    </row>
    <row r="43" spans="2:8" ht="13" x14ac:dyDescent="0.25">
      <c r="B43" s="5"/>
      <c r="C43" s="27"/>
      <c r="E43" s="5" t="s">
        <v>173</v>
      </c>
      <c r="F43" s="27">
        <v>0.1</v>
      </c>
    </row>
    <row r="44" spans="2:8" ht="13" x14ac:dyDescent="0.25">
      <c r="B44" s="5"/>
      <c r="C44" s="27"/>
      <c r="E44" s="5" t="s">
        <v>174</v>
      </c>
      <c r="F44" s="27">
        <v>0.1</v>
      </c>
    </row>
    <row r="45" spans="2:8" ht="13" x14ac:dyDescent="0.25">
      <c r="B45" s="3" t="s">
        <v>175</v>
      </c>
      <c r="C45" s="47">
        <f>SUM(C37:C44)</f>
        <v>0.99999999999999989</v>
      </c>
      <c r="F45" s="47">
        <f>SUM(F37:F44)</f>
        <v>0.99999999999999989</v>
      </c>
    </row>
    <row r="47" spans="2:8" ht="13" x14ac:dyDescent="0.25">
      <c r="B47" s="64" t="s">
        <v>176</v>
      </c>
      <c r="C47" s="49"/>
      <c r="D47" s="49"/>
      <c r="E47" s="49"/>
      <c r="F47" s="49"/>
      <c r="G47" s="49"/>
      <c r="H47" s="49"/>
    </row>
    <row r="48" spans="2:8" x14ac:dyDescent="0.25">
      <c r="B48" s="3" t="s">
        <v>39</v>
      </c>
      <c r="C48" s="22" t="s">
        <v>40</v>
      </c>
      <c r="E48" s="3" t="s">
        <v>16</v>
      </c>
    </row>
    <row r="49" spans="2:8" ht="13" x14ac:dyDescent="0.25">
      <c r="B49" s="5" t="s">
        <v>177</v>
      </c>
      <c r="C49" s="42">
        <v>4500</v>
      </c>
      <c r="E49" s="56" t="s">
        <v>178</v>
      </c>
      <c r="F49" s="49"/>
      <c r="G49" s="49"/>
      <c r="H49" s="49"/>
    </row>
    <row r="50" spans="2:8" ht="13" x14ac:dyDescent="0.25">
      <c r="B50" s="5" t="s">
        <v>179</v>
      </c>
      <c r="C50" s="42">
        <v>3200</v>
      </c>
      <c r="E50" s="56" t="s">
        <v>180</v>
      </c>
      <c r="F50" s="49"/>
      <c r="G50" s="49"/>
      <c r="H50" s="49"/>
    </row>
    <row r="51" spans="2:8" ht="13" x14ac:dyDescent="0.25">
      <c r="B51" s="5" t="s">
        <v>181</v>
      </c>
      <c r="C51" s="42">
        <v>2400</v>
      </c>
      <c r="E51" s="56" t="s">
        <v>182</v>
      </c>
      <c r="F51" s="49"/>
      <c r="G51" s="49"/>
      <c r="H51" s="49"/>
    </row>
    <row r="52" spans="2:8" ht="13" x14ac:dyDescent="0.25">
      <c r="B52" s="5" t="s">
        <v>183</v>
      </c>
      <c r="C52" s="42">
        <v>1200</v>
      </c>
      <c r="E52" s="56" t="s">
        <v>184</v>
      </c>
      <c r="F52" s="49"/>
      <c r="G52" s="49"/>
      <c r="H52" s="49"/>
    </row>
    <row r="54" spans="2:8" ht="13" x14ac:dyDescent="0.25">
      <c r="B54" s="64" t="s">
        <v>185</v>
      </c>
      <c r="C54" s="49"/>
    </row>
    <row r="55" spans="2:8" ht="13" x14ac:dyDescent="0.25">
      <c r="B55" s="5" t="s">
        <v>10</v>
      </c>
      <c r="C55" s="5" t="s">
        <v>186</v>
      </c>
    </row>
    <row r="56" spans="2:8" ht="13" x14ac:dyDescent="0.25">
      <c r="B56" s="5" t="s">
        <v>187</v>
      </c>
      <c r="C56" s="5" t="s">
        <v>188</v>
      </c>
    </row>
    <row r="57" spans="2:8" ht="13" x14ac:dyDescent="0.25">
      <c r="B57" s="5" t="s">
        <v>189</v>
      </c>
      <c r="C57" s="5" t="s">
        <v>190</v>
      </c>
    </row>
    <row r="58" spans="2:8" ht="13" x14ac:dyDescent="0.25">
      <c r="B58" s="5" t="s">
        <v>191</v>
      </c>
      <c r="C58" s="5" t="s">
        <v>192</v>
      </c>
    </row>
    <row r="60" spans="2:8" ht="13" x14ac:dyDescent="0.25">
      <c r="B60" s="64" t="s">
        <v>193</v>
      </c>
      <c r="C60" s="49"/>
    </row>
    <row r="61" spans="2:8" ht="13" x14ac:dyDescent="0.25">
      <c r="B61" s="10" t="s">
        <v>194</v>
      </c>
      <c r="C61" s="5" t="s">
        <v>195</v>
      </c>
    </row>
    <row r="62" spans="2:8" ht="13" x14ac:dyDescent="0.25">
      <c r="B62" s="10" t="s">
        <v>196</v>
      </c>
      <c r="C62" s="5" t="s">
        <v>197</v>
      </c>
    </row>
    <row r="63" spans="2:8" ht="13" x14ac:dyDescent="0.25">
      <c r="B63" s="10" t="s">
        <v>198</v>
      </c>
      <c r="C63" s="4" t="s">
        <v>199</v>
      </c>
    </row>
    <row r="64" spans="2:8" ht="13" x14ac:dyDescent="0.25">
      <c r="B64" s="10" t="s">
        <v>200</v>
      </c>
      <c r="C64" s="4" t="s">
        <v>201</v>
      </c>
    </row>
    <row r="65" spans="2:3" ht="13" x14ac:dyDescent="0.25">
      <c r="B65" s="10" t="s">
        <v>202</v>
      </c>
      <c r="C65" s="4" t="s">
        <v>203</v>
      </c>
    </row>
    <row r="66" spans="2:3" ht="13" x14ac:dyDescent="0.25">
      <c r="B66" s="10" t="s">
        <v>204</v>
      </c>
      <c r="C66" s="4" t="s">
        <v>205</v>
      </c>
    </row>
    <row r="67" spans="2:3" ht="13" x14ac:dyDescent="0.25">
      <c r="B67" s="10" t="s">
        <v>206</v>
      </c>
      <c r="C67" s="4" t="s">
        <v>207</v>
      </c>
    </row>
    <row r="69" spans="2:3" ht="13" x14ac:dyDescent="0.25">
      <c r="B69" s="67" t="s">
        <v>208</v>
      </c>
      <c r="C69" s="49"/>
    </row>
    <row r="70" spans="2:3" x14ac:dyDescent="0.25">
      <c r="B70" s="26" t="s">
        <v>50</v>
      </c>
    </row>
    <row r="71" spans="2:3" x14ac:dyDescent="0.25">
      <c r="B71" s="26" t="s">
        <v>209</v>
      </c>
    </row>
    <row r="72" spans="2:3" x14ac:dyDescent="0.25">
      <c r="B72" s="26" t="s">
        <v>210</v>
      </c>
    </row>
    <row r="73" spans="2:3" x14ac:dyDescent="0.25">
      <c r="B73" s="26" t="s">
        <v>42</v>
      </c>
    </row>
    <row r="74" spans="2:3" x14ac:dyDescent="0.25">
      <c r="B74" s="26" t="s">
        <v>82</v>
      </c>
    </row>
    <row r="75" spans="2:3" x14ac:dyDescent="0.25">
      <c r="B75" s="26" t="s">
        <v>123</v>
      </c>
    </row>
    <row r="76" spans="2:3" x14ac:dyDescent="0.25">
      <c r="B76" s="26" t="s">
        <v>79</v>
      </c>
    </row>
    <row r="77" spans="2:3" x14ac:dyDescent="0.25">
      <c r="B77" s="26" t="s">
        <v>94</v>
      </c>
    </row>
    <row r="78" spans="2:3" x14ac:dyDescent="0.25">
      <c r="B78" s="26">
        <v>10</v>
      </c>
    </row>
    <row r="79" spans="2:3" x14ac:dyDescent="0.25">
      <c r="B79" s="26">
        <v>15</v>
      </c>
    </row>
    <row r="80" spans="2:3" x14ac:dyDescent="0.25">
      <c r="B80" s="26">
        <v>20</v>
      </c>
    </row>
    <row r="81" spans="2:2" x14ac:dyDescent="0.25">
      <c r="B81" s="26">
        <v>25</v>
      </c>
    </row>
    <row r="82" spans="2:2" x14ac:dyDescent="0.25">
      <c r="B82" s="26" t="str">
        <f>B36</f>
        <v>Por avance de obra</v>
      </c>
    </row>
    <row r="83" spans="2:2" x14ac:dyDescent="0.25">
      <c r="B83" s="26" t="str">
        <f>E36</f>
        <v>Inicial + cuotas</v>
      </c>
    </row>
    <row r="84" spans="2:2" x14ac:dyDescent="0.25">
      <c r="B84" s="26" t="s">
        <v>13</v>
      </c>
    </row>
    <row r="85" spans="2:2" x14ac:dyDescent="0.25">
      <c r="B85" s="26" t="s">
        <v>211</v>
      </c>
    </row>
  </sheetData>
  <mergeCells count="17">
    <mergeCell ref="B5:C5"/>
    <mergeCell ref="E50:H50"/>
    <mergeCell ref="E51:H51"/>
    <mergeCell ref="B22:C22"/>
    <mergeCell ref="B47:H47"/>
    <mergeCell ref="B18:C18"/>
    <mergeCell ref="E49:H49"/>
    <mergeCell ref="E32:H32"/>
    <mergeCell ref="B13:C13"/>
    <mergeCell ref="E52:H52"/>
    <mergeCell ref="B69:C69"/>
    <mergeCell ref="B54:C54"/>
    <mergeCell ref="B29:C29"/>
    <mergeCell ref="E31:H31"/>
    <mergeCell ref="E33:H33"/>
    <mergeCell ref="B35:H35"/>
    <mergeCell ref="B60:C60"/>
  </mergeCells>
  <conditionalFormatting sqref="C45 F45">
    <cfRule type="expression" dxfId="0" priority="1">
      <formula>ROUND(C45,6)&lt;&gt;1</formula>
    </cfRule>
  </conditionalFormatting>
  <pageMargins left="0.75" right="0.75" top="1" bottom="1" header="0.5" footer="0.5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1"/>
  <sheetViews>
    <sheetView workbookViewId="0"/>
  </sheetViews>
  <sheetFormatPr baseColWidth="10" defaultColWidth="8.7265625" defaultRowHeight="12.5" x14ac:dyDescent="0.25"/>
  <sheetData>
    <row r="1" spans="1:7" x14ac:dyDescent="0.25">
      <c r="A1" t="s">
        <v>27</v>
      </c>
      <c r="B1" t="s">
        <v>29</v>
      </c>
      <c r="C1" t="s">
        <v>31</v>
      </c>
      <c r="E1" t="s">
        <v>212</v>
      </c>
      <c r="F1" t="s">
        <v>213</v>
      </c>
      <c r="G1" t="s">
        <v>214</v>
      </c>
    </row>
    <row r="2" spans="1:7" x14ac:dyDescent="0.25">
      <c r="A2" t="str">
        <f>IFERROR(INDEX(Inventario!$A$5:$A$43,MATCH(ROW()-1,$E$2:$E$40,0)),"")</f>
        <v>102</v>
      </c>
      <c r="B2" t="s">
        <v>30</v>
      </c>
      <c r="C2" t="s">
        <v>30</v>
      </c>
      <c r="E2" t="str">
        <f>IF(AND(Inventario!$B$5="Departamento",Inventario!$K$5="Disponible"),COUNTIFS(Inventario!$B$5:$B$5,"Departamento",Inventario!$K$5:$K$5,"Disponible"),"")</f>
        <v/>
      </c>
      <c r="F2" t="str">
        <f>IF(AND(Inventario!$B$5="Estacionamiento",Inventario!$K$5="Disponible"),COUNTIFS(Inventario!$B$5:$B$5,"Estacionamiento",Inventario!$K$5:$K$5,"Disponible"),"")</f>
        <v/>
      </c>
      <c r="G2" t="str">
        <f>IF(AND(Inventario!$B$5="Depósito",Inventario!$K$5="Disponible"),COUNTIFS(Inventario!$B$5:$B$5,"Depósito",Inventario!$K$5:$K$5,"Disponible"),"")</f>
        <v/>
      </c>
    </row>
    <row r="3" spans="1:7" x14ac:dyDescent="0.25">
      <c r="A3" t="str">
        <f>IFERROR(INDEX(Inventario!$A$5:$A$43,MATCH(ROW()-1,$E$2:$E$40,0)),"")</f>
        <v>201</v>
      </c>
      <c r="B3" t="str">
        <f>IFERROR(INDEX(Inventario!$A$5:$A$43,MATCH(ROW()-2,$F$2:$F$40,0)),"")</f>
        <v>E-02</v>
      </c>
      <c r="C3" t="str">
        <f>IFERROR(INDEX(Inventario!$A$5:$A$43,MATCH(ROW()-2,$G$2:$G$40,0)),"")</f>
        <v>D-01</v>
      </c>
      <c r="E3">
        <f>IF(AND(Inventario!$B$6="Departamento",Inventario!$K$6="Disponible"),COUNTIFS(Inventario!$B$5:$B$6,"Departamento",Inventario!$K$5:$K$6,"Disponible"),"")</f>
        <v>1</v>
      </c>
      <c r="F3" t="str">
        <f>IF(AND(Inventario!$B$6="Estacionamiento",Inventario!$K$6="Disponible"),COUNTIFS(Inventario!$B$5:$B$6,"Estacionamiento",Inventario!$K$5:$K$6,"Disponible"),"")</f>
        <v/>
      </c>
      <c r="G3" t="str">
        <f>IF(AND(Inventario!$B$6="Depósito",Inventario!$K$6="Disponible"),COUNTIFS(Inventario!$B$5:$B$6,"Depósito",Inventario!$K$5:$K$6,"Disponible"),"")</f>
        <v/>
      </c>
    </row>
    <row r="4" spans="1:7" x14ac:dyDescent="0.25">
      <c r="A4" t="str">
        <f>IFERROR(INDEX(Inventario!$A$5:$A$43,MATCH(ROW()-1,$E$2:$E$40,0)),"")</f>
        <v>202</v>
      </c>
      <c r="B4" t="str">
        <f>IFERROR(INDEX(Inventario!$A$5:$A$43,MATCH(ROW()-2,$F$2:$F$40,0)),"")</f>
        <v>E-03</v>
      </c>
      <c r="C4" t="str">
        <f>IFERROR(INDEX(Inventario!$A$5:$A$43,MATCH(ROW()-2,$G$2:$G$40,0)),"")</f>
        <v>D-02</v>
      </c>
      <c r="E4">
        <f>IF(AND(Inventario!$B$7="Departamento",Inventario!$K$7="Disponible"),COUNTIFS(Inventario!$B$5:$B$7,"Departamento",Inventario!$K$5:$K$7,"Disponible"),"")</f>
        <v>2</v>
      </c>
      <c r="F4" t="str">
        <f>IF(AND(Inventario!$B$7="Estacionamiento",Inventario!$K$7="Disponible"),COUNTIFS(Inventario!$B$5:$B$7,"Estacionamiento",Inventario!$K$5:$K$7,"Disponible"),"")</f>
        <v/>
      </c>
      <c r="G4" t="str">
        <f>IF(AND(Inventario!$B$7="Depósito",Inventario!$K$7="Disponible"),COUNTIFS(Inventario!$B$5:$B$7,"Depósito",Inventario!$K$5:$K$7,"Disponible"),"")</f>
        <v/>
      </c>
    </row>
    <row r="5" spans="1:7" x14ac:dyDescent="0.25">
      <c r="A5" t="str">
        <f>IFERROR(INDEX(Inventario!$A$5:$A$43,MATCH(ROW()-1,$E$2:$E$40,0)),"")</f>
        <v>203</v>
      </c>
      <c r="B5" t="str">
        <f>IFERROR(INDEX(Inventario!$A$5:$A$43,MATCH(ROW()-2,$F$2:$F$40,0)),"")</f>
        <v>E-04</v>
      </c>
      <c r="C5" t="str">
        <f>IFERROR(INDEX(Inventario!$A$5:$A$43,MATCH(ROW()-2,$G$2:$G$40,0)),"")</f>
        <v>D-03</v>
      </c>
      <c r="E5">
        <f>IF(AND(Inventario!$B$8="Departamento",Inventario!$K$8="Disponible"),COUNTIFS(Inventario!$B$5:$B$8,"Departamento",Inventario!$K$5:$K$8,"Disponible"),"")</f>
        <v>3</v>
      </c>
      <c r="F5" t="str">
        <f>IF(AND(Inventario!$B$8="Estacionamiento",Inventario!$K$8="Disponible"),COUNTIFS(Inventario!$B$5:$B$8,"Estacionamiento",Inventario!$K$5:$K$8,"Disponible"),"")</f>
        <v/>
      </c>
      <c r="G5" t="str">
        <f>IF(AND(Inventario!$B$8="Depósito",Inventario!$K$8="Disponible"),COUNTIFS(Inventario!$B$5:$B$8,"Depósito",Inventario!$K$5:$K$8,"Disponible"),"")</f>
        <v/>
      </c>
    </row>
    <row r="6" spans="1:7" x14ac:dyDescent="0.25">
      <c r="A6" t="str">
        <f>IFERROR(INDEX(Inventario!$A$5:$A$43,MATCH(ROW()-1,$E$2:$E$40,0)),"")</f>
        <v>301</v>
      </c>
      <c r="B6" t="str">
        <f>IFERROR(INDEX(Inventario!$A$5:$A$43,MATCH(ROW()-2,$F$2:$F$40,0)),"")</f>
        <v>E-05</v>
      </c>
      <c r="C6" t="str">
        <f>IFERROR(INDEX(Inventario!$A$5:$A$43,MATCH(ROW()-2,$G$2:$G$40,0)),"")</f>
        <v>D-04</v>
      </c>
      <c r="E6">
        <f>IF(AND(Inventario!$B$9="Departamento",Inventario!$K$9="Disponible"),COUNTIFS(Inventario!$B$5:$B$9,"Departamento",Inventario!$K$5:$K$9,"Disponible"),"")</f>
        <v>4</v>
      </c>
      <c r="F6" t="str">
        <f>IF(AND(Inventario!$B$9="Estacionamiento",Inventario!$K$9="Disponible"),COUNTIFS(Inventario!$B$5:$B$9,"Estacionamiento",Inventario!$K$5:$K$9,"Disponible"),"")</f>
        <v/>
      </c>
      <c r="G6" t="str">
        <f>IF(AND(Inventario!$B$9="Depósito",Inventario!$K$9="Disponible"),COUNTIFS(Inventario!$B$5:$B$9,"Depósito",Inventario!$K$5:$K$9,"Disponible"),"")</f>
        <v/>
      </c>
    </row>
    <row r="7" spans="1:7" x14ac:dyDescent="0.25">
      <c r="A7" t="str">
        <f>IFERROR(INDEX(Inventario!$A$5:$A$43,MATCH(ROW()-1,$E$2:$E$40,0)),"")</f>
        <v>302</v>
      </c>
      <c r="B7" t="str">
        <f>IFERROR(INDEX(Inventario!$A$5:$A$43,MATCH(ROW()-2,$F$2:$F$40,0)),"")</f>
        <v>E-08</v>
      </c>
      <c r="C7" t="str">
        <f>IFERROR(INDEX(Inventario!$A$5:$A$43,MATCH(ROW()-2,$G$2:$G$40,0)),"")</f>
        <v/>
      </c>
      <c r="E7">
        <f>IF(AND(Inventario!$B$10="Departamento",Inventario!$K$10="Disponible"),COUNTIFS(Inventario!$B$5:$B$10,"Departamento",Inventario!$K$5:$K$10,"Disponible"),"")</f>
        <v>5</v>
      </c>
      <c r="F7" t="str">
        <f>IF(AND(Inventario!$B$10="Estacionamiento",Inventario!$K$10="Disponible"),COUNTIFS(Inventario!$B$5:$B$10,"Estacionamiento",Inventario!$K$5:$K$10,"Disponible"),"")</f>
        <v/>
      </c>
      <c r="G7" t="str">
        <f>IF(AND(Inventario!$B$10="Depósito",Inventario!$K$10="Disponible"),COUNTIFS(Inventario!$B$5:$B$10,"Depósito",Inventario!$K$5:$K$10,"Disponible"),"")</f>
        <v/>
      </c>
    </row>
    <row r="8" spans="1:7" x14ac:dyDescent="0.25">
      <c r="A8" t="str">
        <f>IFERROR(INDEX(Inventario!$A$5:$A$43,MATCH(ROW()-1,$E$2:$E$40,0)),"")</f>
        <v>303</v>
      </c>
      <c r="B8" t="str">
        <f>IFERROR(INDEX(Inventario!$A$5:$A$43,MATCH(ROW()-2,$F$2:$F$40,0)),"")</f>
        <v>E-09</v>
      </c>
      <c r="C8" t="str">
        <f>IFERROR(INDEX(Inventario!$A$5:$A$43,MATCH(ROW()-2,$G$2:$G$40,0)),"")</f>
        <v/>
      </c>
      <c r="E8">
        <f>IF(AND(Inventario!$B$11="Departamento",Inventario!$K$11="Disponible"),COUNTIFS(Inventario!$B$5:$B$11,"Departamento",Inventario!$K$5:$K$11,"Disponible"),"")</f>
        <v>6</v>
      </c>
      <c r="F8" t="str">
        <f>IF(AND(Inventario!$B$11="Estacionamiento",Inventario!$K$11="Disponible"),COUNTIFS(Inventario!$B$5:$B$11,"Estacionamiento",Inventario!$K$5:$K$11,"Disponible"),"")</f>
        <v/>
      </c>
      <c r="G8" t="str">
        <f>IF(AND(Inventario!$B$11="Depósito",Inventario!$K$11="Disponible"),COUNTIFS(Inventario!$B$5:$B$11,"Depósito",Inventario!$K$5:$K$11,"Disponible"),"")</f>
        <v/>
      </c>
    </row>
    <row r="9" spans="1:7" x14ac:dyDescent="0.25">
      <c r="A9" t="str">
        <f>IFERROR(INDEX(Inventario!$A$5:$A$43,MATCH(ROW()-1,$E$2:$E$40,0)),"")</f>
        <v>401</v>
      </c>
      <c r="B9" t="str">
        <f>IFERROR(INDEX(Inventario!$A$5:$A$43,MATCH(ROW()-2,$F$2:$F$40,0)),"")</f>
        <v>E-10</v>
      </c>
      <c r="C9" t="str">
        <f>IFERROR(INDEX(Inventario!$A$5:$A$43,MATCH(ROW()-2,$G$2:$G$40,0)),"")</f>
        <v/>
      </c>
      <c r="E9">
        <f>IF(AND(Inventario!$B$12="Departamento",Inventario!$K$12="Disponible"),COUNTIFS(Inventario!$B$5:$B$12,"Departamento",Inventario!$K$5:$K$12,"Disponible"),"")</f>
        <v>7</v>
      </c>
      <c r="F9" t="str">
        <f>IF(AND(Inventario!$B$12="Estacionamiento",Inventario!$K$12="Disponible"),COUNTIFS(Inventario!$B$5:$B$12,"Estacionamiento",Inventario!$K$5:$K$12,"Disponible"),"")</f>
        <v/>
      </c>
      <c r="G9" t="str">
        <f>IF(AND(Inventario!$B$12="Depósito",Inventario!$K$12="Disponible"),COUNTIFS(Inventario!$B$5:$B$12,"Depósito",Inventario!$K$5:$K$12,"Disponible"),"")</f>
        <v/>
      </c>
    </row>
    <row r="10" spans="1:7" x14ac:dyDescent="0.25">
      <c r="A10" t="str">
        <f>IFERROR(INDEX(Inventario!$A$5:$A$43,MATCH(ROW()-1,$E$2:$E$40,0)),"")</f>
        <v>403</v>
      </c>
      <c r="B10" t="str">
        <f>IFERROR(INDEX(Inventario!$A$5:$A$43,MATCH(ROW()-2,$F$2:$F$40,0)),"")</f>
        <v/>
      </c>
      <c r="C10" t="str">
        <f>IFERROR(INDEX(Inventario!$A$5:$A$43,MATCH(ROW()-2,$G$2:$G$40,0)),"")</f>
        <v/>
      </c>
      <c r="E10">
        <f>IF(AND(Inventario!$B$13="Departamento",Inventario!$K$13="Disponible"),COUNTIFS(Inventario!$B$5:$B$13,"Departamento",Inventario!$K$5:$K$13,"Disponible"),"")</f>
        <v>8</v>
      </c>
      <c r="F10" t="str">
        <f>IF(AND(Inventario!$B$13="Estacionamiento",Inventario!$K$13="Disponible"),COUNTIFS(Inventario!$B$5:$B$13,"Estacionamiento",Inventario!$K$5:$K$13,"Disponible"),"")</f>
        <v/>
      </c>
      <c r="G10" t="str">
        <f>IF(AND(Inventario!$B$13="Depósito",Inventario!$K$13="Disponible"),COUNTIFS(Inventario!$B$5:$B$13,"Depósito",Inventario!$K$5:$K$13,"Disponible"),"")</f>
        <v/>
      </c>
    </row>
    <row r="11" spans="1:7" x14ac:dyDescent="0.25">
      <c r="A11" t="str">
        <f>IFERROR(INDEX(Inventario!$A$5:$A$43,MATCH(ROW()-1,$E$2:$E$40,0)),"")</f>
        <v>502</v>
      </c>
      <c r="B11" t="str">
        <f>IFERROR(INDEX(Inventario!$A$5:$A$43,MATCH(ROW()-2,$F$2:$F$40,0)),"")</f>
        <v/>
      </c>
      <c r="C11" t="str">
        <f>IFERROR(INDEX(Inventario!$A$5:$A$43,MATCH(ROW()-2,$G$2:$G$40,0)),"")</f>
        <v/>
      </c>
      <c r="E11" t="str">
        <f>IF(AND(Inventario!$B$14="Departamento",Inventario!$K$14="Disponible"),COUNTIFS(Inventario!$B$5:$B$14,"Departamento",Inventario!$K$5:$K$14,"Disponible"),"")</f>
        <v/>
      </c>
      <c r="F11" t="str">
        <f>IF(AND(Inventario!$B$14="Estacionamiento",Inventario!$K$14="Disponible"),COUNTIFS(Inventario!$B$5:$B$14,"Estacionamiento",Inventario!$K$5:$K$14,"Disponible"),"")</f>
        <v/>
      </c>
      <c r="G11" t="str">
        <f>IF(AND(Inventario!$B$14="Depósito",Inventario!$K$14="Disponible"),COUNTIFS(Inventario!$B$5:$B$14,"Depósito",Inventario!$K$5:$K$14,"Disponible"),"")</f>
        <v/>
      </c>
    </row>
    <row r="12" spans="1:7" x14ac:dyDescent="0.25">
      <c r="A12" t="str">
        <f>IFERROR(INDEX(Inventario!$A$5:$A$43,MATCH(ROW()-1,$E$2:$E$40,0)),"")</f>
        <v>601</v>
      </c>
      <c r="B12" t="str">
        <f>IFERROR(INDEX(Inventario!$A$5:$A$43,MATCH(ROW()-2,$F$2:$F$40,0)),"")</f>
        <v/>
      </c>
      <c r="C12" t="str">
        <f>IFERROR(INDEX(Inventario!$A$5:$A$43,MATCH(ROW()-2,$G$2:$G$40,0)),"")</f>
        <v/>
      </c>
      <c r="E12">
        <f>IF(AND(Inventario!$B$15="Departamento",Inventario!$K$15="Disponible"),COUNTIFS(Inventario!$B$5:$B$15,"Departamento",Inventario!$K$5:$K$15,"Disponible"),"")</f>
        <v>9</v>
      </c>
      <c r="F12" t="str">
        <f>IF(AND(Inventario!$B$15="Estacionamiento",Inventario!$K$15="Disponible"),COUNTIFS(Inventario!$B$5:$B$15,"Estacionamiento",Inventario!$K$5:$K$15,"Disponible"),"")</f>
        <v/>
      </c>
      <c r="G12" t="str">
        <f>IF(AND(Inventario!$B$15="Depósito",Inventario!$K$15="Disponible"),COUNTIFS(Inventario!$B$5:$B$15,"Depósito",Inventario!$K$5:$K$15,"Disponible"),"")</f>
        <v/>
      </c>
    </row>
    <row r="13" spans="1:7" x14ac:dyDescent="0.25">
      <c r="A13" t="str">
        <f>IFERROR(INDEX(Inventario!$A$5:$A$43,MATCH(ROW()-1,$E$2:$E$40,0)),"")</f>
        <v>602</v>
      </c>
      <c r="B13" t="str">
        <f>IFERROR(INDEX(Inventario!$A$5:$A$43,MATCH(ROW()-2,$F$2:$F$40,0)),"")</f>
        <v/>
      </c>
      <c r="C13" t="str">
        <f>IFERROR(INDEX(Inventario!$A$5:$A$43,MATCH(ROW()-2,$G$2:$G$40,0)),"")</f>
        <v/>
      </c>
      <c r="E13" t="str">
        <f>IF(AND(Inventario!$B$16="Departamento",Inventario!$K$16="Disponible"),COUNTIFS(Inventario!$B$5:$B$16,"Departamento",Inventario!$K$5:$K$16,"Disponible"),"")</f>
        <v/>
      </c>
      <c r="F13" t="str">
        <f>IF(AND(Inventario!$B$16="Estacionamiento",Inventario!$K$16="Disponible"),COUNTIFS(Inventario!$B$5:$B$16,"Estacionamiento",Inventario!$K$5:$K$16,"Disponible"),"")</f>
        <v/>
      </c>
      <c r="G13" t="str">
        <f>IF(AND(Inventario!$B$16="Depósito",Inventario!$K$16="Disponible"),COUNTIFS(Inventario!$B$5:$B$16,"Depósito",Inventario!$K$5:$K$16,"Disponible"),"")</f>
        <v/>
      </c>
    </row>
    <row r="14" spans="1:7" x14ac:dyDescent="0.25">
      <c r="A14" t="str">
        <f>IFERROR(INDEX(Inventario!$A$5:$A$43,MATCH(ROW()-1,$E$2:$E$40,0)),"")</f>
        <v>603</v>
      </c>
      <c r="B14" t="str">
        <f>IFERROR(INDEX(Inventario!$A$5:$A$43,MATCH(ROW()-2,$F$2:$F$40,0)),"")</f>
        <v/>
      </c>
      <c r="C14" t="str">
        <f>IFERROR(INDEX(Inventario!$A$5:$A$43,MATCH(ROW()-2,$G$2:$G$40,0)),"")</f>
        <v/>
      </c>
      <c r="E14">
        <f>IF(AND(Inventario!$B$17="Departamento",Inventario!$K$17="Disponible"),COUNTIFS(Inventario!$B$5:$B$17,"Departamento",Inventario!$K$5:$K$17,"Disponible"),"")</f>
        <v>10</v>
      </c>
      <c r="F14" t="str">
        <f>IF(AND(Inventario!$B$17="Estacionamiento",Inventario!$K$17="Disponible"),COUNTIFS(Inventario!$B$5:$B$17,"Estacionamiento",Inventario!$K$5:$K$17,"Disponible"),"")</f>
        <v/>
      </c>
      <c r="G14" t="str">
        <f>IF(AND(Inventario!$B$17="Depósito",Inventario!$K$17="Disponible"),COUNTIFS(Inventario!$B$5:$B$17,"Depósito",Inventario!$K$5:$K$17,"Disponible"),"")</f>
        <v/>
      </c>
    </row>
    <row r="15" spans="1:7" x14ac:dyDescent="0.25">
      <c r="A15" t="str">
        <f>IFERROR(INDEX(Inventario!$A$5:$A$43,MATCH(ROW()-1,$E$2:$E$40,0)),"")</f>
        <v>701</v>
      </c>
      <c r="B15" t="str">
        <f>IFERROR(INDEX(Inventario!$A$5:$A$43,MATCH(ROW()-2,$F$2:$F$40,0)),"")</f>
        <v/>
      </c>
      <c r="C15" t="str">
        <f>IFERROR(INDEX(Inventario!$A$5:$A$43,MATCH(ROW()-2,$G$2:$G$40,0)),"")</f>
        <v/>
      </c>
      <c r="E15" t="str">
        <f>IF(AND(Inventario!$B$18="Departamento",Inventario!$K$18="Disponible"),COUNTIFS(Inventario!$B$5:$B$18,"Departamento",Inventario!$K$5:$K$18,"Disponible"),"")</f>
        <v/>
      </c>
      <c r="F15" t="str">
        <f>IF(AND(Inventario!$B$18="Estacionamiento",Inventario!$K$18="Disponible"),COUNTIFS(Inventario!$B$5:$B$18,"Estacionamiento",Inventario!$K$5:$K$18,"Disponible"),"")</f>
        <v/>
      </c>
      <c r="G15" t="str">
        <f>IF(AND(Inventario!$B$18="Depósito",Inventario!$K$18="Disponible"),COUNTIFS(Inventario!$B$5:$B$18,"Depósito",Inventario!$K$5:$K$18,"Disponible"),"")</f>
        <v/>
      </c>
    </row>
    <row r="16" spans="1:7" x14ac:dyDescent="0.25">
      <c r="A16" t="str">
        <f>IFERROR(INDEX(Inventario!$A$5:$A$43,MATCH(ROW()-1,$E$2:$E$40,0)),"")</f>
        <v>702</v>
      </c>
      <c r="B16" t="str">
        <f>IFERROR(INDEX(Inventario!$A$5:$A$43,MATCH(ROW()-2,$F$2:$F$40,0)),"")</f>
        <v/>
      </c>
      <c r="C16" t="str">
        <f>IFERROR(INDEX(Inventario!$A$5:$A$43,MATCH(ROW()-2,$G$2:$G$40,0)),"")</f>
        <v/>
      </c>
      <c r="E16">
        <f>IF(AND(Inventario!$B$19="Departamento",Inventario!$K$19="Disponible"),COUNTIFS(Inventario!$B$5:$B$19,"Departamento",Inventario!$K$5:$K$19,"Disponible"),"")</f>
        <v>11</v>
      </c>
      <c r="F16" t="str">
        <f>IF(AND(Inventario!$B$19="Estacionamiento",Inventario!$K$19="Disponible"),COUNTIFS(Inventario!$B$5:$B$19,"Estacionamiento",Inventario!$K$5:$K$19,"Disponible"),"")</f>
        <v/>
      </c>
      <c r="G16" t="str">
        <f>IF(AND(Inventario!$B$19="Depósito",Inventario!$K$19="Disponible"),COUNTIFS(Inventario!$B$5:$B$19,"Depósito",Inventario!$K$5:$K$19,"Disponible"),"")</f>
        <v/>
      </c>
    </row>
    <row r="17" spans="1:7" x14ac:dyDescent="0.25">
      <c r="A17" t="str">
        <f>IFERROR(INDEX(Inventario!$A$5:$A$43,MATCH(ROW()-1,$E$2:$E$40,0)),"")</f>
        <v>703</v>
      </c>
      <c r="B17" t="str">
        <f>IFERROR(INDEX(Inventario!$A$5:$A$43,MATCH(ROW()-2,$F$2:$F$40,0)),"")</f>
        <v/>
      </c>
      <c r="C17" t="str">
        <f>IFERROR(INDEX(Inventario!$A$5:$A$43,MATCH(ROW()-2,$G$2:$G$40,0)),"")</f>
        <v/>
      </c>
      <c r="E17">
        <f>IF(AND(Inventario!$B$20="Departamento",Inventario!$K$20="Disponible"),COUNTIFS(Inventario!$B$5:$B$20,"Departamento",Inventario!$K$5:$K$20,"Disponible"),"")</f>
        <v>12</v>
      </c>
      <c r="F17" t="str">
        <f>IF(AND(Inventario!$B$20="Estacionamiento",Inventario!$K$20="Disponible"),COUNTIFS(Inventario!$B$5:$B$20,"Estacionamiento",Inventario!$K$5:$K$20,"Disponible"),"")</f>
        <v/>
      </c>
      <c r="G17" t="str">
        <f>IF(AND(Inventario!$B$20="Depósito",Inventario!$K$20="Disponible"),COUNTIFS(Inventario!$B$5:$B$20,"Depósito",Inventario!$K$5:$K$20,"Disponible"),"")</f>
        <v/>
      </c>
    </row>
    <row r="18" spans="1:7" x14ac:dyDescent="0.25">
      <c r="A18" t="str">
        <f>IFERROR(INDEX(Inventario!$A$5:$A$43,MATCH(ROW()-1,$E$2:$E$40,0)),"")</f>
        <v>801</v>
      </c>
      <c r="B18" t="str">
        <f>IFERROR(INDEX(Inventario!$A$5:$A$43,MATCH(ROW()-2,$F$2:$F$40,0)),"")</f>
        <v/>
      </c>
      <c r="C18" t="str">
        <f>IFERROR(INDEX(Inventario!$A$5:$A$43,MATCH(ROW()-2,$G$2:$G$40,0)),"")</f>
        <v/>
      </c>
      <c r="E18">
        <f>IF(AND(Inventario!$B$21="Departamento",Inventario!$K$21="Disponible"),COUNTIFS(Inventario!$B$5:$B$21,"Departamento",Inventario!$K$5:$K$21,"Disponible"),"")</f>
        <v>13</v>
      </c>
      <c r="F18" t="str">
        <f>IF(AND(Inventario!$B$21="Estacionamiento",Inventario!$K$21="Disponible"),COUNTIFS(Inventario!$B$5:$B$21,"Estacionamiento",Inventario!$K$5:$K$21,"Disponible"),"")</f>
        <v/>
      </c>
      <c r="G18" t="str">
        <f>IF(AND(Inventario!$B$21="Depósito",Inventario!$K$21="Disponible"),COUNTIFS(Inventario!$B$5:$B$21,"Depósito",Inventario!$K$5:$K$21,"Disponible"),"")</f>
        <v/>
      </c>
    </row>
    <row r="19" spans="1:7" x14ac:dyDescent="0.25">
      <c r="A19" t="str">
        <f>IFERROR(INDEX(Inventario!$A$5:$A$43,MATCH(ROW()-1,$E$2:$E$40,0)),"")</f>
        <v>802</v>
      </c>
      <c r="B19" t="str">
        <f>IFERROR(INDEX(Inventario!$A$5:$A$43,MATCH(ROW()-2,$F$2:$F$40,0)),"")</f>
        <v/>
      </c>
      <c r="C19" t="str">
        <f>IFERROR(INDEX(Inventario!$A$5:$A$43,MATCH(ROW()-2,$G$2:$G$40,0)),"")</f>
        <v/>
      </c>
      <c r="E19">
        <f>IF(AND(Inventario!$B$22="Departamento",Inventario!$K$22="Disponible"),COUNTIFS(Inventario!$B$5:$B$22,"Departamento",Inventario!$K$5:$K$22,"Disponible"),"")</f>
        <v>14</v>
      </c>
      <c r="F19" t="str">
        <f>IF(AND(Inventario!$B$22="Estacionamiento",Inventario!$K$22="Disponible"),COUNTIFS(Inventario!$B$5:$B$22,"Estacionamiento",Inventario!$K$5:$K$22,"Disponible"),"")</f>
        <v/>
      </c>
      <c r="G19" t="str">
        <f>IF(AND(Inventario!$B$22="Depósito",Inventario!$K$22="Disponible"),COUNTIFS(Inventario!$B$5:$B$22,"Depósito",Inventario!$K$5:$K$22,"Disponible"),"")</f>
        <v/>
      </c>
    </row>
    <row r="20" spans="1:7" x14ac:dyDescent="0.25">
      <c r="A20" t="str">
        <f>IFERROR(INDEX(Inventario!$A$5:$A$43,MATCH(ROW()-1,$E$2:$E$40,0)),"")</f>
        <v>803</v>
      </c>
      <c r="B20" t="str">
        <f>IFERROR(INDEX(Inventario!$A$5:$A$43,MATCH(ROW()-2,$F$2:$F$40,0)),"")</f>
        <v/>
      </c>
      <c r="C20" t="str">
        <f>IFERROR(INDEX(Inventario!$A$5:$A$43,MATCH(ROW()-2,$G$2:$G$40,0)),"")</f>
        <v/>
      </c>
      <c r="E20">
        <f>IF(AND(Inventario!$B$23="Departamento",Inventario!$K$23="Disponible"),COUNTIFS(Inventario!$B$5:$B$23,"Departamento",Inventario!$K$5:$K$23,"Disponible"),"")</f>
        <v>15</v>
      </c>
      <c r="F20" t="str">
        <f>IF(AND(Inventario!$B$23="Estacionamiento",Inventario!$K$23="Disponible"),COUNTIFS(Inventario!$B$5:$B$23,"Estacionamiento",Inventario!$K$5:$K$23,"Disponible"),"")</f>
        <v/>
      </c>
      <c r="G20" t="str">
        <f>IF(AND(Inventario!$B$23="Depósito",Inventario!$K$23="Disponible"),COUNTIFS(Inventario!$B$5:$B$23,"Depósito",Inventario!$K$5:$K$23,"Disponible"),"")</f>
        <v/>
      </c>
    </row>
    <row r="21" spans="1:7" x14ac:dyDescent="0.25">
      <c r="A21" t="str">
        <f>IFERROR(INDEX(Inventario!$A$5:$A$43,MATCH(ROW()-1,$E$2:$E$40,0)),"")</f>
        <v>901</v>
      </c>
      <c r="B21" t="str">
        <f>IFERROR(INDEX(Inventario!$A$5:$A$43,MATCH(ROW()-2,$F$2:$F$40,0)),"")</f>
        <v/>
      </c>
      <c r="C21" t="str">
        <f>IFERROR(INDEX(Inventario!$A$5:$A$43,MATCH(ROW()-2,$G$2:$G$40,0)),"")</f>
        <v/>
      </c>
      <c r="E21">
        <f>IF(AND(Inventario!$B$24="Departamento",Inventario!$K$24="Disponible"),COUNTIFS(Inventario!$B$5:$B$24,"Departamento",Inventario!$K$5:$K$24,"Disponible"),"")</f>
        <v>16</v>
      </c>
      <c r="F21" t="str">
        <f>IF(AND(Inventario!$B$24="Estacionamiento",Inventario!$K$24="Disponible"),COUNTIFS(Inventario!$B$5:$B$24,"Estacionamiento",Inventario!$K$5:$K$24,"Disponible"),"")</f>
        <v/>
      </c>
      <c r="G21" t="str">
        <f>IF(AND(Inventario!$B$24="Depósito",Inventario!$K$24="Disponible"),COUNTIFS(Inventario!$B$5:$B$24,"Depósito",Inventario!$K$5:$K$24,"Disponible"),"")</f>
        <v/>
      </c>
    </row>
    <row r="22" spans="1:7" x14ac:dyDescent="0.25">
      <c r="A22" t="str">
        <f>IFERROR(INDEX(Inventario!$A$5:$A$43,MATCH(ROW()-1,$E$2:$E$40,0)),"")</f>
        <v>902</v>
      </c>
      <c r="B22" t="str">
        <f>IFERROR(INDEX(Inventario!$A$5:$A$43,MATCH(ROW()-2,$F$2:$F$40,0)),"")</f>
        <v/>
      </c>
      <c r="C22" t="str">
        <f>IFERROR(INDEX(Inventario!$A$5:$A$43,MATCH(ROW()-2,$G$2:$G$40,0)),"")</f>
        <v/>
      </c>
      <c r="E22">
        <f>IF(AND(Inventario!$B$25="Departamento",Inventario!$K$25="Disponible"),COUNTIFS(Inventario!$B$5:$B$25,"Departamento",Inventario!$K$5:$K$25,"Disponible"),"")</f>
        <v>17</v>
      </c>
      <c r="F22" t="str">
        <f>IF(AND(Inventario!$B$25="Estacionamiento",Inventario!$K$25="Disponible"),COUNTIFS(Inventario!$B$5:$B$25,"Estacionamiento",Inventario!$K$5:$K$25,"Disponible"),"")</f>
        <v/>
      </c>
      <c r="G22" t="str">
        <f>IF(AND(Inventario!$B$25="Depósito",Inventario!$K$25="Disponible"),COUNTIFS(Inventario!$B$5:$B$25,"Depósito",Inventario!$K$5:$K$25,"Disponible"),"")</f>
        <v/>
      </c>
    </row>
    <row r="23" spans="1:7" x14ac:dyDescent="0.25">
      <c r="A23" t="str">
        <f>IFERROR(INDEX(Inventario!$A$5:$A$43,MATCH(ROW()-1,$E$2:$E$40,0)),"")</f>
        <v/>
      </c>
      <c r="B23" t="str">
        <f>IFERROR(INDEX(Inventario!$A$5:$A$43,MATCH(ROW()-2,$F$2:$F$40,0)),"")</f>
        <v/>
      </c>
      <c r="C23" t="str">
        <f>IFERROR(INDEX(Inventario!$A$5:$A$43,MATCH(ROW()-2,$G$2:$G$40,0)),"")</f>
        <v/>
      </c>
      <c r="E23">
        <f>IF(AND(Inventario!$B$26="Departamento",Inventario!$K$26="Disponible"),COUNTIFS(Inventario!$B$5:$B$26,"Departamento",Inventario!$K$5:$K$26,"Disponible"),"")</f>
        <v>18</v>
      </c>
      <c r="F23" t="str">
        <f>IF(AND(Inventario!$B$26="Estacionamiento",Inventario!$K$26="Disponible"),COUNTIFS(Inventario!$B$5:$B$26,"Estacionamiento",Inventario!$K$5:$K$26,"Disponible"),"")</f>
        <v/>
      </c>
      <c r="G23" t="str">
        <f>IF(AND(Inventario!$B$26="Depósito",Inventario!$K$26="Disponible"),COUNTIFS(Inventario!$B$5:$B$26,"Depósito",Inventario!$K$5:$K$26,"Disponible"),"")</f>
        <v/>
      </c>
    </row>
    <row r="24" spans="1:7" x14ac:dyDescent="0.25">
      <c r="A24" t="str">
        <f>IFERROR(INDEX(Inventario!$A$5:$A$43,MATCH(ROW()-1,$E$2:$E$40,0)),"")</f>
        <v/>
      </c>
      <c r="B24" t="str">
        <f>IFERROR(INDEX(Inventario!$A$5:$A$43,MATCH(ROW()-2,$F$2:$F$40,0)),"")</f>
        <v/>
      </c>
      <c r="C24" t="str">
        <f>IFERROR(INDEX(Inventario!$A$5:$A$43,MATCH(ROW()-2,$G$2:$G$40,0)),"")</f>
        <v/>
      </c>
      <c r="E24">
        <f>IF(AND(Inventario!$B$27="Departamento",Inventario!$K$27="Disponible"),COUNTIFS(Inventario!$B$5:$B$27,"Departamento",Inventario!$K$5:$K$27,"Disponible"),"")</f>
        <v>19</v>
      </c>
      <c r="F24" t="str">
        <f>IF(AND(Inventario!$B$27="Estacionamiento",Inventario!$K$27="Disponible"),COUNTIFS(Inventario!$B$5:$B$27,"Estacionamiento",Inventario!$K$5:$K$27,"Disponible"),"")</f>
        <v/>
      </c>
      <c r="G24" t="str">
        <f>IF(AND(Inventario!$B$27="Depósito",Inventario!$K$27="Disponible"),COUNTIFS(Inventario!$B$5:$B$27,"Depósito",Inventario!$K$5:$K$27,"Disponible"),"")</f>
        <v/>
      </c>
    </row>
    <row r="25" spans="1:7" x14ac:dyDescent="0.25">
      <c r="A25" t="str">
        <f>IFERROR(INDEX(Inventario!$A$5:$A$43,MATCH(ROW()-1,$E$2:$E$40,0)),"")</f>
        <v/>
      </c>
      <c r="B25" t="str">
        <f>IFERROR(INDEX(Inventario!$A$5:$A$43,MATCH(ROW()-2,$F$2:$F$40,0)),"")</f>
        <v/>
      </c>
      <c r="C25" t="str">
        <f>IFERROR(INDEX(Inventario!$A$5:$A$43,MATCH(ROW()-2,$G$2:$G$40,0)),"")</f>
        <v/>
      </c>
      <c r="E25">
        <f>IF(AND(Inventario!$B$28="Departamento",Inventario!$K$28="Disponible"),COUNTIFS(Inventario!$B$5:$B$28,"Departamento",Inventario!$K$5:$K$28,"Disponible"),"")</f>
        <v>20</v>
      </c>
      <c r="F25" t="str">
        <f>IF(AND(Inventario!$B$28="Estacionamiento",Inventario!$K$28="Disponible"),COUNTIFS(Inventario!$B$5:$B$28,"Estacionamiento",Inventario!$K$5:$K$28,"Disponible"),"")</f>
        <v/>
      </c>
      <c r="G25" t="str">
        <f>IF(AND(Inventario!$B$28="Depósito",Inventario!$K$28="Disponible"),COUNTIFS(Inventario!$B$5:$B$28,"Depósito",Inventario!$K$5:$K$28,"Disponible"),"")</f>
        <v/>
      </c>
    </row>
    <row r="26" spans="1:7" x14ac:dyDescent="0.25">
      <c r="A26" t="str">
        <f>IFERROR(INDEX(Inventario!$A$5:$A$43,MATCH(ROW()-1,$E$2:$E$40,0)),"")</f>
        <v/>
      </c>
      <c r="B26" t="str">
        <f>IFERROR(INDEX(Inventario!$A$5:$A$43,MATCH(ROW()-2,$F$2:$F$40,0)),"")</f>
        <v/>
      </c>
      <c r="C26" t="str">
        <f>IFERROR(INDEX(Inventario!$A$5:$A$43,MATCH(ROW()-2,$G$2:$G$40,0)),"")</f>
        <v/>
      </c>
      <c r="E26">
        <f>IF(AND(Inventario!$B$29="Departamento",Inventario!$K$29="Disponible"),COUNTIFS(Inventario!$B$5:$B$29,"Departamento",Inventario!$K$5:$K$29,"Disponible"),"")</f>
        <v>21</v>
      </c>
      <c r="F26" t="str">
        <f>IF(AND(Inventario!$B$29="Estacionamiento",Inventario!$K$29="Disponible"),COUNTIFS(Inventario!$B$5:$B$29,"Estacionamiento",Inventario!$K$5:$K$29,"Disponible"),"")</f>
        <v/>
      </c>
      <c r="G26" t="str">
        <f>IF(AND(Inventario!$B$29="Depósito",Inventario!$K$29="Disponible"),COUNTIFS(Inventario!$B$5:$B$29,"Depósito",Inventario!$K$5:$K$29,"Disponible"),"")</f>
        <v/>
      </c>
    </row>
    <row r="27" spans="1:7" x14ac:dyDescent="0.25">
      <c r="A27" t="str">
        <f>IFERROR(INDEX(Inventario!$A$5:$A$43,MATCH(ROW()-1,$E$2:$E$40,0)),"")</f>
        <v/>
      </c>
      <c r="B27" t="str">
        <f>IFERROR(INDEX(Inventario!$A$5:$A$43,MATCH(ROW()-2,$F$2:$F$40,0)),"")</f>
        <v/>
      </c>
      <c r="C27" t="str">
        <f>IFERROR(INDEX(Inventario!$A$5:$A$43,MATCH(ROW()-2,$G$2:$G$40,0)),"")</f>
        <v/>
      </c>
      <c r="E27" t="str">
        <f>IF(AND(Inventario!$B$30="Departamento",Inventario!$K$30="Disponible"),COUNTIFS(Inventario!$B$5:$B$30,"Departamento",Inventario!$K$5:$K$30,"Disponible"),"")</f>
        <v/>
      </c>
      <c r="F27" t="str">
        <f>IF(AND(Inventario!$B$30="Estacionamiento",Inventario!$K$30="Disponible"),COUNTIFS(Inventario!$B$5:$B$30,"Estacionamiento",Inventario!$K$5:$K$30,"Disponible"),"")</f>
        <v/>
      </c>
      <c r="G27" t="str">
        <f>IF(AND(Inventario!$B$30="Depósito",Inventario!$K$30="Disponible"),COUNTIFS(Inventario!$B$5:$B$30,"Depósito",Inventario!$K$5:$K$30,"Disponible"),"")</f>
        <v/>
      </c>
    </row>
    <row r="28" spans="1:7" x14ac:dyDescent="0.25">
      <c r="A28" t="str">
        <f>IFERROR(INDEX(Inventario!$A$5:$A$43,MATCH(ROW()-1,$E$2:$E$40,0)),"")</f>
        <v/>
      </c>
      <c r="B28" t="str">
        <f>IFERROR(INDEX(Inventario!$A$5:$A$43,MATCH(ROW()-2,$F$2:$F$40,0)),"")</f>
        <v/>
      </c>
      <c r="C28" t="str">
        <f>IFERROR(INDEX(Inventario!$A$5:$A$43,MATCH(ROW()-2,$G$2:$G$40,0)),"")</f>
        <v/>
      </c>
      <c r="E28" t="str">
        <f>IF(AND(Inventario!$B$31="Departamento",Inventario!$K$31="Disponible"),COUNTIFS(Inventario!$B$5:$B$31,"Departamento",Inventario!$K$5:$K$31,"Disponible"),"")</f>
        <v/>
      </c>
      <c r="F28">
        <f>IF(AND(Inventario!$B$31="Estacionamiento",Inventario!$K$31="Disponible"),COUNTIFS(Inventario!$B$5:$B$31,"Estacionamiento",Inventario!$K$5:$K$31,"Disponible"),"")</f>
        <v>1</v>
      </c>
      <c r="G28" t="str">
        <f>IF(AND(Inventario!$B$31="Depósito",Inventario!$K$31="Disponible"),COUNTIFS(Inventario!$B$5:$B$31,"Depósito",Inventario!$K$5:$K$31,"Disponible"),"")</f>
        <v/>
      </c>
    </row>
    <row r="29" spans="1:7" x14ac:dyDescent="0.25">
      <c r="A29" t="str">
        <f>IFERROR(INDEX(Inventario!$A$5:$A$43,MATCH(ROW()-1,$E$2:$E$40,0)),"")</f>
        <v/>
      </c>
      <c r="B29" t="str">
        <f>IFERROR(INDEX(Inventario!$A$5:$A$43,MATCH(ROW()-2,$F$2:$F$40,0)),"")</f>
        <v/>
      </c>
      <c r="C29" t="str">
        <f>IFERROR(INDEX(Inventario!$A$5:$A$43,MATCH(ROW()-2,$G$2:$G$40,0)),"")</f>
        <v/>
      </c>
      <c r="E29" t="str">
        <f>IF(AND(Inventario!$B$32="Departamento",Inventario!$K$32="Disponible"),COUNTIFS(Inventario!$B$5:$B$32,"Departamento",Inventario!$K$5:$K$32,"Disponible"),"")</f>
        <v/>
      </c>
      <c r="F29">
        <f>IF(AND(Inventario!$B$32="Estacionamiento",Inventario!$K$32="Disponible"),COUNTIFS(Inventario!$B$5:$B$32,"Estacionamiento",Inventario!$K$5:$K$32,"Disponible"),"")</f>
        <v>2</v>
      </c>
      <c r="G29" t="str">
        <f>IF(AND(Inventario!$B$32="Depósito",Inventario!$K$32="Disponible"),COUNTIFS(Inventario!$B$5:$B$32,"Depósito",Inventario!$K$5:$K$32,"Disponible"),"")</f>
        <v/>
      </c>
    </row>
    <row r="30" spans="1:7" x14ac:dyDescent="0.25">
      <c r="A30" t="str">
        <f>IFERROR(INDEX(Inventario!$A$5:$A$43,MATCH(ROW()-1,$E$2:$E$40,0)),"")</f>
        <v/>
      </c>
      <c r="B30" t="str">
        <f>IFERROR(INDEX(Inventario!$A$5:$A$43,MATCH(ROW()-2,$F$2:$F$40,0)),"")</f>
        <v/>
      </c>
      <c r="C30" t="str">
        <f>IFERROR(INDEX(Inventario!$A$5:$A$43,MATCH(ROW()-2,$G$2:$G$40,0)),"")</f>
        <v/>
      </c>
      <c r="E30" t="str">
        <f>IF(AND(Inventario!$B$33="Departamento",Inventario!$K$33="Disponible"),COUNTIFS(Inventario!$B$5:$B$33,"Departamento",Inventario!$K$5:$K$33,"Disponible"),"")</f>
        <v/>
      </c>
      <c r="F30">
        <f>IF(AND(Inventario!$B$33="Estacionamiento",Inventario!$K$33="Disponible"),COUNTIFS(Inventario!$B$5:$B$33,"Estacionamiento",Inventario!$K$5:$K$33,"Disponible"),"")</f>
        <v>3</v>
      </c>
      <c r="G30" t="str">
        <f>IF(AND(Inventario!$B$33="Depósito",Inventario!$K$33="Disponible"),COUNTIFS(Inventario!$B$5:$B$33,"Depósito",Inventario!$K$5:$K$33,"Disponible"),"")</f>
        <v/>
      </c>
    </row>
    <row r="31" spans="1:7" x14ac:dyDescent="0.25">
      <c r="A31" t="str">
        <f>IFERROR(INDEX(Inventario!$A$5:$A$43,MATCH(ROW()-1,$E$2:$E$40,0)),"")</f>
        <v/>
      </c>
      <c r="B31" t="str">
        <f>IFERROR(INDEX(Inventario!$A$5:$A$43,MATCH(ROW()-2,$F$2:$F$40,0)),"")</f>
        <v/>
      </c>
      <c r="C31" t="str">
        <f>IFERROR(INDEX(Inventario!$A$5:$A$43,MATCH(ROW()-2,$G$2:$G$40,0)),"")</f>
        <v/>
      </c>
      <c r="E31" t="str">
        <f>IF(AND(Inventario!$B$34="Departamento",Inventario!$K$34="Disponible"),COUNTIFS(Inventario!$B$5:$B$34,"Departamento",Inventario!$K$5:$K$34,"Disponible"),"")</f>
        <v/>
      </c>
      <c r="F31">
        <f>IF(AND(Inventario!$B$34="Estacionamiento",Inventario!$K$34="Disponible"),COUNTIFS(Inventario!$B$5:$B$34,"Estacionamiento",Inventario!$K$5:$K$34,"Disponible"),"")</f>
        <v>4</v>
      </c>
      <c r="G31" t="str">
        <f>IF(AND(Inventario!$B$34="Depósito",Inventario!$K$34="Disponible"),COUNTIFS(Inventario!$B$5:$B$34,"Depósito",Inventario!$K$5:$K$34,"Disponible"),"")</f>
        <v/>
      </c>
    </row>
    <row r="32" spans="1:7" x14ac:dyDescent="0.25">
      <c r="A32" t="str">
        <f>IFERROR(INDEX(Inventario!$A$5:$A$43,MATCH(ROW()-1,$E$2:$E$40,0)),"")</f>
        <v/>
      </c>
      <c r="B32" t="str">
        <f>IFERROR(INDEX(Inventario!$A$5:$A$43,MATCH(ROW()-2,$F$2:$F$40,0)),"")</f>
        <v/>
      </c>
      <c r="C32" t="str">
        <f>IFERROR(INDEX(Inventario!$A$5:$A$43,MATCH(ROW()-2,$G$2:$G$40,0)),"")</f>
        <v/>
      </c>
      <c r="E32" t="str">
        <f>IF(AND(Inventario!$B$35="Departamento",Inventario!$K$35="Disponible"),COUNTIFS(Inventario!$B$5:$B$35,"Departamento",Inventario!$K$5:$K$35,"Disponible"),"")</f>
        <v/>
      </c>
      <c r="F32" t="str">
        <f>IF(AND(Inventario!$B$35="Estacionamiento",Inventario!$K$35="Disponible"),COUNTIFS(Inventario!$B$5:$B$35,"Estacionamiento",Inventario!$K$5:$K$35,"Disponible"),"")</f>
        <v/>
      </c>
      <c r="G32" t="str">
        <f>IF(AND(Inventario!$B$35="Depósito",Inventario!$K$35="Disponible"),COUNTIFS(Inventario!$B$5:$B$35,"Depósito",Inventario!$K$5:$K$35,"Disponible"),"")</f>
        <v/>
      </c>
    </row>
    <row r="33" spans="1:7" x14ac:dyDescent="0.25">
      <c r="A33" t="str">
        <f>IFERROR(INDEX(Inventario!$A$5:$A$43,MATCH(ROW()-1,$E$2:$E$40,0)),"")</f>
        <v/>
      </c>
      <c r="B33" t="str">
        <f>IFERROR(INDEX(Inventario!$A$5:$A$43,MATCH(ROW()-2,$F$2:$F$40,0)),"")</f>
        <v/>
      </c>
      <c r="C33" t="str">
        <f>IFERROR(INDEX(Inventario!$A$5:$A$43,MATCH(ROW()-2,$G$2:$G$40,0)),"")</f>
        <v/>
      </c>
      <c r="E33" t="str">
        <f>IF(AND(Inventario!$B$36="Departamento",Inventario!$K$36="Disponible"),COUNTIFS(Inventario!$B$5:$B$36,"Departamento",Inventario!$K$5:$K$36,"Disponible"),"")</f>
        <v/>
      </c>
      <c r="F33" t="str">
        <f>IF(AND(Inventario!$B$36="Estacionamiento",Inventario!$K$36="Disponible"),COUNTIFS(Inventario!$B$5:$B$36,"Estacionamiento",Inventario!$K$5:$K$36,"Disponible"),"")</f>
        <v/>
      </c>
      <c r="G33" t="str">
        <f>IF(AND(Inventario!$B$36="Depósito",Inventario!$K$36="Disponible"),COUNTIFS(Inventario!$B$5:$B$36,"Depósito",Inventario!$K$5:$K$36,"Disponible"),"")</f>
        <v/>
      </c>
    </row>
    <row r="34" spans="1:7" x14ac:dyDescent="0.25">
      <c r="A34" t="str">
        <f>IFERROR(INDEX(Inventario!$A$5:$A$43,MATCH(ROW()-1,$E$2:$E$40,0)),"")</f>
        <v/>
      </c>
      <c r="B34" t="str">
        <f>IFERROR(INDEX(Inventario!$A$5:$A$43,MATCH(ROW()-2,$F$2:$F$40,0)),"")</f>
        <v/>
      </c>
      <c r="C34" t="str">
        <f>IFERROR(INDEX(Inventario!$A$5:$A$43,MATCH(ROW()-2,$G$2:$G$40,0)),"")</f>
        <v/>
      </c>
      <c r="E34" t="str">
        <f>IF(AND(Inventario!$B$37="Departamento",Inventario!$K$37="Disponible"),COUNTIFS(Inventario!$B$5:$B$37,"Departamento",Inventario!$K$5:$K$37,"Disponible"),"")</f>
        <v/>
      </c>
      <c r="F34">
        <f>IF(AND(Inventario!$B$37="Estacionamiento",Inventario!$K$37="Disponible"),COUNTIFS(Inventario!$B$5:$B$37,"Estacionamiento",Inventario!$K$5:$K$37,"Disponible"),"")</f>
        <v>5</v>
      </c>
      <c r="G34" t="str">
        <f>IF(AND(Inventario!$B$37="Depósito",Inventario!$K$37="Disponible"),COUNTIFS(Inventario!$B$5:$B$37,"Depósito",Inventario!$K$5:$K$37,"Disponible"),"")</f>
        <v/>
      </c>
    </row>
    <row r="35" spans="1:7" x14ac:dyDescent="0.25">
      <c r="A35" t="str">
        <f>IFERROR(INDEX(Inventario!$A$5:$A$43,MATCH(ROW()-1,$E$2:$E$40,0)),"")</f>
        <v/>
      </c>
      <c r="B35" t="str">
        <f>IFERROR(INDEX(Inventario!$A$5:$A$43,MATCH(ROW()-2,$F$2:$F$40,0)),"")</f>
        <v/>
      </c>
      <c r="C35" t="str">
        <f>IFERROR(INDEX(Inventario!$A$5:$A$43,MATCH(ROW()-2,$G$2:$G$40,0)),"")</f>
        <v/>
      </c>
      <c r="E35" t="str">
        <f>IF(AND(Inventario!$B$38="Departamento",Inventario!$K$38="Disponible"),COUNTIFS(Inventario!$B$5:$B$38,"Departamento",Inventario!$K$5:$K$38,"Disponible"),"")</f>
        <v/>
      </c>
      <c r="F35">
        <f>IF(AND(Inventario!$B$38="Estacionamiento",Inventario!$K$38="Disponible"),COUNTIFS(Inventario!$B$5:$B$38,"Estacionamiento",Inventario!$K$5:$K$38,"Disponible"),"")</f>
        <v>6</v>
      </c>
      <c r="G35" t="str">
        <f>IF(AND(Inventario!$B$38="Depósito",Inventario!$K$38="Disponible"),COUNTIFS(Inventario!$B$5:$B$38,"Depósito",Inventario!$K$5:$K$38,"Disponible"),"")</f>
        <v/>
      </c>
    </row>
    <row r="36" spans="1:7" x14ac:dyDescent="0.25">
      <c r="A36" t="str">
        <f>IFERROR(INDEX(Inventario!$A$5:$A$43,MATCH(ROW()-1,$E$2:$E$40,0)),"")</f>
        <v/>
      </c>
      <c r="B36" t="str">
        <f>IFERROR(INDEX(Inventario!$A$5:$A$43,MATCH(ROW()-2,$F$2:$F$40,0)),"")</f>
        <v/>
      </c>
      <c r="C36" t="str">
        <f>IFERROR(INDEX(Inventario!$A$5:$A$43,MATCH(ROW()-2,$G$2:$G$40,0)),"")</f>
        <v/>
      </c>
      <c r="E36" t="str">
        <f>IF(AND(Inventario!$B$39="Departamento",Inventario!$K$39="Disponible"),COUNTIFS(Inventario!$B$5:$B$39,"Departamento",Inventario!$K$5:$K$39,"Disponible"),"")</f>
        <v/>
      </c>
      <c r="F36">
        <f>IF(AND(Inventario!$B$39="Estacionamiento",Inventario!$K$39="Disponible"),COUNTIFS(Inventario!$B$5:$B$39,"Estacionamiento",Inventario!$K$5:$K$39,"Disponible"),"")</f>
        <v>7</v>
      </c>
      <c r="G36" t="str">
        <f>IF(AND(Inventario!$B$39="Depósito",Inventario!$K$39="Disponible"),COUNTIFS(Inventario!$B$5:$B$39,"Depósito",Inventario!$K$5:$K$39,"Disponible"),"")</f>
        <v/>
      </c>
    </row>
    <row r="37" spans="1:7" x14ac:dyDescent="0.25">
      <c r="A37" t="str">
        <f>IFERROR(INDEX(Inventario!$A$5:$A$43,MATCH(ROW()-1,$E$2:$E$40,0)),"")</f>
        <v/>
      </c>
      <c r="B37" t="str">
        <f>IFERROR(INDEX(Inventario!$A$5:$A$43,MATCH(ROW()-2,$F$2:$F$40,0)),"")</f>
        <v/>
      </c>
      <c r="C37" t="str">
        <f>IFERROR(INDEX(Inventario!$A$5:$A$43,MATCH(ROW()-2,$G$2:$G$40,0)),"")</f>
        <v/>
      </c>
      <c r="E37" t="str">
        <f>IF(AND(Inventario!$B$40="Departamento",Inventario!$K$40="Disponible"),COUNTIFS(Inventario!$B$5:$B$40,"Departamento",Inventario!$K$5:$K$40,"Disponible"),"")</f>
        <v/>
      </c>
      <c r="F37" t="str">
        <f>IF(AND(Inventario!$B$40="Estacionamiento",Inventario!$K$40="Disponible"),COUNTIFS(Inventario!$B$5:$B$40,"Estacionamiento",Inventario!$K$5:$K$40,"Disponible"),"")</f>
        <v/>
      </c>
      <c r="G37">
        <f>IF(AND(Inventario!$B$40="Depósito",Inventario!$K$40="Disponible"),COUNTIFS(Inventario!$B$5:$B$40,"Depósito",Inventario!$K$5:$K$40,"Disponible"),"")</f>
        <v>1</v>
      </c>
    </row>
    <row r="38" spans="1:7" x14ac:dyDescent="0.25">
      <c r="A38" t="str">
        <f>IFERROR(INDEX(Inventario!$A$5:$A$43,MATCH(ROW()-1,$E$2:$E$40,0)),"")</f>
        <v/>
      </c>
      <c r="B38" t="str">
        <f>IFERROR(INDEX(Inventario!$A$5:$A$43,MATCH(ROW()-2,$F$2:$F$40,0)),"")</f>
        <v/>
      </c>
      <c r="C38" t="str">
        <f>IFERROR(INDEX(Inventario!$A$5:$A$43,MATCH(ROW()-2,$G$2:$G$40,0)),"")</f>
        <v/>
      </c>
      <c r="E38" t="str">
        <f>IF(AND(Inventario!$B$41="Departamento",Inventario!$K$41="Disponible"),COUNTIFS(Inventario!$B$5:$B$41,"Departamento",Inventario!$K$5:$K$41,"Disponible"),"")</f>
        <v/>
      </c>
      <c r="F38" t="str">
        <f>IF(AND(Inventario!$B$41="Estacionamiento",Inventario!$K$41="Disponible"),COUNTIFS(Inventario!$B$5:$B$41,"Estacionamiento",Inventario!$K$5:$K$41,"Disponible"),"")</f>
        <v/>
      </c>
      <c r="G38">
        <f>IF(AND(Inventario!$B$41="Depósito",Inventario!$K$41="Disponible"),COUNTIFS(Inventario!$B$5:$B$41,"Depósito",Inventario!$K$5:$K$41,"Disponible"),"")</f>
        <v>2</v>
      </c>
    </row>
    <row r="39" spans="1:7" x14ac:dyDescent="0.25">
      <c r="A39" t="str">
        <f>IFERROR(INDEX(Inventario!$A$5:$A$43,MATCH(ROW()-1,$E$2:$E$40,0)),"")</f>
        <v/>
      </c>
      <c r="B39" t="str">
        <f>IFERROR(INDEX(Inventario!$A$5:$A$43,MATCH(ROW()-2,$F$2:$F$40,0)),"")</f>
        <v/>
      </c>
      <c r="C39" t="str">
        <f>IFERROR(INDEX(Inventario!$A$5:$A$43,MATCH(ROW()-2,$G$2:$G$40,0)),"")</f>
        <v/>
      </c>
      <c r="E39" t="str">
        <f>IF(AND(Inventario!$B$42="Departamento",Inventario!$K$42="Disponible"),COUNTIFS(Inventario!$B$5:$B$42,"Departamento",Inventario!$K$5:$K$42,"Disponible"),"")</f>
        <v/>
      </c>
      <c r="F39" t="str">
        <f>IF(AND(Inventario!$B$42="Estacionamiento",Inventario!$K$42="Disponible"),COUNTIFS(Inventario!$B$5:$B$42,"Estacionamiento",Inventario!$K$5:$K$42,"Disponible"),"")</f>
        <v/>
      </c>
      <c r="G39">
        <f>IF(AND(Inventario!$B$42="Depósito",Inventario!$K$42="Disponible"),COUNTIFS(Inventario!$B$5:$B$42,"Depósito",Inventario!$K$5:$K$42,"Disponible"),"")</f>
        <v>3</v>
      </c>
    </row>
    <row r="40" spans="1:7" x14ac:dyDescent="0.25">
      <c r="A40" t="str">
        <f>IFERROR(INDEX(Inventario!$A$5:$A$43,MATCH(ROW()-1,$E$2:$E$40,0)),"")</f>
        <v/>
      </c>
      <c r="B40" t="str">
        <f>IFERROR(INDEX(Inventario!$A$5:$A$43,MATCH(ROW()-2,$F$2:$F$40,0)),"")</f>
        <v/>
      </c>
      <c r="C40" t="str">
        <f>IFERROR(INDEX(Inventario!$A$5:$A$43,MATCH(ROW()-2,$G$2:$G$40,0)),"")</f>
        <v/>
      </c>
      <c r="E40" t="str">
        <f>IF(AND(Inventario!$B$43="Departamento",Inventario!$K$43="Disponible"),COUNTIFS(Inventario!$B$5:$B$43,"Departamento",Inventario!$K$5:$K$43,"Disponible"),"")</f>
        <v/>
      </c>
      <c r="F40" t="str">
        <f>IF(AND(Inventario!$B$43="Estacionamiento",Inventario!$K$43="Disponible"),COUNTIFS(Inventario!$B$5:$B$43,"Estacionamiento",Inventario!$K$5:$K$43,"Disponible"),"")</f>
        <v/>
      </c>
      <c r="G40">
        <f>IF(AND(Inventario!$B$43="Depósito",Inventario!$K$43="Disponible"),COUNTIFS(Inventario!$B$5:$B$43,"Depósito",Inventario!$K$5:$K$43,"Disponible"),"")</f>
        <v>4</v>
      </c>
    </row>
    <row r="41" spans="1:7" x14ac:dyDescent="0.25">
      <c r="B41" t="str">
        <f>IFERROR(INDEX(Inventario!$A$5:$A$43,MATCH(ROW()-2,$F$2:$F$40,0)),"")</f>
        <v/>
      </c>
      <c r="C41" t="str">
        <f>IFERROR(INDEX(Inventario!$A$5:$A$43,MATCH(ROW()-2,$G$2:$G$40,0)),"")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49</vt:i4>
      </vt:variant>
    </vt:vector>
  </HeadingPairs>
  <TitlesOfParts>
    <vt:vector size="53" baseType="lpstr">
      <vt:lpstr>Cotización</vt:lpstr>
      <vt:lpstr>Inventario</vt:lpstr>
      <vt:lpstr>Configuración</vt:lpstr>
      <vt:lpstr>Listas</vt:lpstr>
      <vt:lpstr>Cotización!Área_de_impresión</vt:lpstr>
      <vt:lpstr>cfgBanco</vt:lpstr>
      <vt:lpstr>cfgBonoInicial</vt:lpstr>
      <vt:lpstr>cfgCciPEN</vt:lpstr>
      <vt:lpstr>cfgCciUSD</vt:lpstr>
      <vt:lpstr>cfgCorrelativo</vt:lpstr>
      <vt:lpstr>cfgCtaPEN</vt:lpstr>
      <vt:lpstr>cfgCtaUSD</vt:lpstr>
      <vt:lpstr>cfgDireccion</vt:lpstr>
      <vt:lpstr>cfgEntrega</vt:lpstr>
      <vt:lpstr>cfgHorario</vt:lpstr>
      <vt:lpstr>cfgInicialSugerida</vt:lpstr>
      <vt:lpstr>cfgLema</vt:lpstr>
      <vt:lpstr>cfgProyecto</vt:lpstr>
      <vt:lpstr>cfgRUC</vt:lpstr>
      <vt:lpstr>cfgSala</vt:lpstr>
      <vt:lpstr>cfgTC</vt:lpstr>
      <vt:lpstr>cfgTEA</vt:lpstr>
      <vt:lpstr>cfgTitular</vt:lpstr>
      <vt:lpstr>cfgTramoEspecial</vt:lpstr>
      <vt:lpstr>cfgTramoExcepcional</vt:lpstr>
      <vt:lpstr>cfgValidez</vt:lpstr>
      <vt:lpstr>cotCampania</vt:lpstr>
      <vt:lpstr>cotFecha</vt:lpstr>
      <vt:lpstr>cotInicial</vt:lpstr>
      <vt:lpstr>cotModalidad</vt:lpstr>
      <vt:lpstr>cotPlan</vt:lpstr>
      <vt:lpstr>cotTotal</vt:lpstr>
      <vt:lpstr>invArea</vt:lpstr>
      <vt:lpstr>invCodigo</vt:lpstr>
      <vt:lpstr>invDesc</vt:lpstr>
      <vt:lpstr>invEstado</vt:lpstr>
      <vt:lpstr>invPrecio1</vt:lpstr>
      <vt:lpstr>invPrecio2</vt:lpstr>
      <vt:lpstr>invTipo</vt:lpstr>
      <vt:lpstr>invTope</vt:lpstr>
      <vt:lpstr>invUbic</vt:lpstr>
      <vt:lpstr>lstAsesores</vt:lpstr>
      <vt:lpstr>lstCampanias</vt:lpstr>
      <vt:lpstr>lstCitas</vt:lpstr>
      <vt:lpstr>lstEstados</vt:lpstr>
      <vt:lpstr>lstModalidad</vt:lpstr>
      <vt:lpstr>lstPlanes</vt:lpstr>
      <vt:lpstr>lstPlazos</vt:lpstr>
      <vt:lpstr>lstSiNo</vt:lpstr>
      <vt:lpstr>tAsesores</vt:lpstr>
      <vt:lpstr>tBeneficios</vt:lpstr>
      <vt:lpstr>tEscalera</vt:lpstr>
      <vt:lpstr>tPlanes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Eder3232</cp:lastModifiedBy>
  <cp:lastPrinted>2026-10-18T23:59:57Z</cp:lastPrinted>
  <dcterms:created xsi:type="dcterms:W3CDTF">2026-10-18T23:59:44Z</dcterms:created>
  <dcterms:modified xsi:type="dcterms:W3CDTF">2026-10-18T23:59:57Z</dcterms:modified>
</cp:coreProperties>
</file>